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jpeg" ContentType="image/jpeg"/>
  <Override PartName="/xl/media/image3.jpeg" ContentType="image/jpeg"/>
  <Override PartName="/xl/media/image4.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astos" sheetId="1" state="visible" r:id="rId3"/>
    <sheet name="Control de salarios" sheetId="2" state="visible" r:id="rId4"/>
    <sheet name="Instrucciones" sheetId="3" state="visible" r:id="rId5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<sst xmlns="http://schemas.openxmlformats.org/spreadsheetml/2006/main" count="1163" uniqueCount="321">
  <si>
    <r>
      <rPr>
        <b val="true"/>
        <sz val="12"/>
        <color theme="1"/>
        <rFont val="Arial"/>
        <family val="0"/>
        <charset val="1"/>
      </rPr>
      <t xml:space="preserve">RELACION CLASIFICADA DE GASTOS 2025
</t>
    </r>
    <r>
      <rPr>
        <i val="true"/>
        <sz val="12"/>
        <color theme="1"/>
        <rFont val="Arial"/>
        <family val="0"/>
        <charset val="1"/>
      </rPr>
      <t xml:space="preserve">(la relación de gastos se presentará en archivo Excel y en formato PDF con firma electronica del representante legal de la entidad)</t>
    </r>
  </si>
  <si>
    <t xml:space="preserve">NOMBRE DE LA ENTIDAD</t>
  </si>
  <si>
    <t xml:space="preserve"> REAS RED DE REDES DE ECONOMIA ALTERNATIVA Y SOLIDARIA </t>
  </si>
  <si>
    <t xml:space="preserve">CIF DE LA ENTIDAD</t>
  </si>
  <si>
    <t xml:space="preserve">G81419277</t>
  </si>
  <si>
    <t xml:space="preserve">Nº DE EXPEDIENTE</t>
  </si>
  <si>
    <t xml:space="preserve">ES25060</t>
  </si>
  <si>
    <t xml:space="preserve">DENOMINACION DE LA ACTIVIDAD</t>
  </si>
  <si>
    <t xml:space="preserve">REAS Red de Redes: “30 años en red impulsando una Economía Socia y Solidaria que sitúa en el centro a las personas"</t>
  </si>
  <si>
    <r>
      <rPr>
        <b val="true"/>
        <sz val="10"/>
        <color theme="1"/>
        <rFont val="Arial"/>
        <family val="0"/>
        <charset val="1"/>
      </rPr>
      <t xml:space="preserve">IMPORTE TOTAL DE LA ACTIVIDAD (en solicitud)</t>
    </r>
    <r>
      <rPr>
        <b val="true"/>
        <sz val="10"/>
        <color rgb="FFC55A11"/>
        <rFont val="Arial"/>
        <family val="0"/>
        <charset val="1"/>
      </rPr>
      <t xml:space="preserve"> (1)</t>
    </r>
  </si>
  <si>
    <t xml:space="preserve">IMPORTE DE LA SUBVENCION CONCEDIDA</t>
  </si>
  <si>
    <t xml:space="preserve">IMPORTE TOTAL DE LA ACTIVIDAD REALIZADA</t>
  </si>
  <si>
    <r>
      <rPr>
        <b val="true"/>
        <sz val="10"/>
        <color theme="1"/>
        <rFont val="Arial"/>
        <family val="0"/>
        <charset val="1"/>
      </rPr>
      <t xml:space="preserve">IMPORTE TOTAL IMPUTADO A LA SUBVENCIÓN </t>
    </r>
    <r>
      <rPr>
        <b val="true"/>
        <sz val="10"/>
        <color rgb="FFC55A11"/>
        <rFont val="Arial"/>
        <family val="0"/>
        <charset val="1"/>
      </rPr>
      <t xml:space="preserve">(2)</t>
    </r>
  </si>
  <si>
    <r>
      <rPr>
        <b val="true"/>
        <sz val="12"/>
        <color theme="1"/>
        <rFont val="Calibri"/>
        <family val="0"/>
        <charset val="1"/>
      </rPr>
      <t xml:space="preserve">AVISO: LAS </t>
    </r>
    <r>
      <rPr>
        <b val="true"/>
        <u val="single"/>
        <sz val="12"/>
        <color theme="1"/>
        <rFont val="Calibri"/>
        <family val="0"/>
        <charset val="1"/>
      </rPr>
      <t xml:space="preserve">CELDAS EN ROJO</t>
    </r>
    <r>
      <rPr>
        <b val="true"/>
        <sz val="12"/>
        <color theme="1"/>
        <rFont val="Calibri"/>
        <family val="0"/>
        <charset val="1"/>
      </rPr>
      <t xml:space="preserve"> EN LA</t>
    </r>
    <r>
      <rPr>
        <b val="true"/>
        <u val="single"/>
        <sz val="12"/>
        <color theme="1"/>
        <rFont val="Calibri"/>
        <family val="0"/>
        <charset val="1"/>
      </rPr>
      <t xml:space="preserve"> COLUMNA L "IMPORTE TOTAL DEL GASTO REALIZADO"</t>
    </r>
    <r>
      <rPr>
        <b val="true"/>
        <sz val="12"/>
        <color theme="1"/>
        <rFont val="Calibri"/>
        <family val="0"/>
        <charset val="1"/>
      </rPr>
      <t xml:space="preserve"> APARECEN POR UNO DE LOS DOS </t>
    </r>
    <r>
      <rPr>
        <b val="true"/>
        <u val="single"/>
        <sz val="12"/>
        <color theme="1"/>
        <rFont val="Calibri"/>
        <family val="0"/>
        <charset val="1"/>
      </rPr>
      <t xml:space="preserve">ERRORES</t>
    </r>
    <r>
      <rPr>
        <b val="true"/>
        <sz val="12"/>
        <color theme="1"/>
        <rFont val="Calibri"/>
        <family val="0"/>
        <charset val="1"/>
      </rPr>
      <t xml:space="preserve"> SIGUIENTES:
A. LA BASE IMPONIBLE MÁS EL IVA NO DEDUCIBLE POR EL PORCENTAJE DE IMPUTACIÓN, NO ES IGUAL AL GASTO REALIZADO (INCOSISTENCIAS EN LOS DATOS CONSIGNADOS EN LAS COLUMNAS I, J Y K)
B. LA SUMA DE LO IMPUTADO A LA SUBVENCIÓN, A OTROS INGRESOS O A APORTACIÓN PROPIA, NO ES IGUAL AL GASTO REALIZADO  (INCOSISTENCIAS EN LOS DATOS CONSIGNADOS EN LAS COLUMNAS M, N Y O)
</t>
    </r>
    <r>
      <rPr>
        <b val="true"/>
        <sz val="12"/>
        <color rgb="FFFF0000"/>
        <rFont val="Calibri"/>
        <family val="0"/>
        <charset val="1"/>
      </rPr>
      <t xml:space="preserve">SÓLO SI LAS DOS FORMULAS CUADRAN Y TODAS LAS CIFRAS SON COHERENTES LAS CELDAS APARECEN EN VERDE
</t>
    </r>
    <r>
      <rPr>
        <b val="true"/>
        <u val="single"/>
        <sz val="11"/>
        <color rgb="FFFF0000"/>
        <rFont val="Calibri"/>
        <family val="0"/>
        <charset val="1"/>
      </rPr>
      <t xml:space="preserve">EN CASO DE DUDAS CONSULTAR LA GUÍA DE JUSTIFICACIÓN PÁGINAS 20 Y SS.</t>
    </r>
  </si>
  <si>
    <r>
      <rPr>
        <b val="true"/>
        <sz val="12"/>
        <color theme="1"/>
        <rFont val="Calibri"/>
        <family val="0"/>
        <charset val="1"/>
      </rPr>
      <t xml:space="preserve">AVISO: LAS </t>
    </r>
    <r>
      <rPr>
        <b val="true"/>
        <u val="single"/>
        <sz val="12"/>
        <color theme="1"/>
        <rFont val="Calibri"/>
        <family val="0"/>
        <charset val="1"/>
      </rPr>
      <t xml:space="preserve">CELDAS EN ROJO</t>
    </r>
    <r>
      <rPr>
        <b val="true"/>
        <sz val="12"/>
        <color theme="1"/>
        <rFont val="Calibri"/>
        <family val="0"/>
        <charset val="1"/>
      </rPr>
      <t xml:space="preserve"> EN LA </t>
    </r>
    <r>
      <rPr>
        <b val="true"/>
        <u val="single"/>
        <sz val="12"/>
        <color theme="1"/>
        <rFont val="Calibri"/>
        <family val="0"/>
        <charset val="1"/>
      </rPr>
      <t xml:space="preserve">FILA DE TOTAL DE GASTOS</t>
    </r>
    <r>
      <rPr>
        <b val="true"/>
        <sz val="12"/>
        <color theme="1"/>
        <rFont val="Calibri"/>
        <family val="0"/>
        <charset val="1"/>
      </rPr>
      <t xml:space="preserve"> APARECEN SI</t>
    </r>
    <r>
      <rPr>
        <b val="true"/>
        <u val="single"/>
        <sz val="12"/>
        <color theme="1"/>
        <rFont val="Calibri"/>
        <family val="0"/>
        <charset val="1"/>
      </rPr>
      <t xml:space="preserve"> NO COINCIDEN CON LAS CUANTÍAS INDICADAS EN CABECERA</t>
    </r>
    <r>
      <rPr>
        <b val="true"/>
        <sz val="12"/>
        <color theme="1"/>
        <rFont val="Calibri"/>
        <family val="0"/>
        <charset val="1"/>
      </rPr>
      <t xml:space="preserve"> COMO IMPORTE TOTAL DE LA ACTIVIDAD REALIZADA O IMPORTE TOTAL DE LA SUBVENCIÓN
</t>
    </r>
    <r>
      <rPr>
        <b val="true"/>
        <sz val="12"/>
        <color rgb="FFFF0000"/>
        <rFont val="Calibri"/>
        <family val="0"/>
        <charset val="1"/>
      </rPr>
      <t xml:space="preserve">SI TODAS LAS CUANTÍAS SON COHERENTES LAS CELDAS APARECEN EN VERDE</t>
    </r>
  </si>
  <si>
    <t xml:space="preserve">SI </t>
  </si>
  <si>
    <t xml:space="preserve">Nº</t>
  </si>
  <si>
    <t xml:space="preserve">ACREEDOR</t>
  </si>
  <si>
    <r>
      <rPr>
        <b val="true"/>
        <sz val="8"/>
        <color theme="1"/>
        <rFont val="Arial"/>
        <family val="0"/>
        <charset val="1"/>
      </rPr>
      <t xml:space="preserve">NIF </t>
    </r>
    <r>
      <rPr>
        <b val="true"/>
        <sz val="8"/>
        <color theme="0"/>
        <rFont val="Arial"/>
        <family val="0"/>
        <charset val="1"/>
      </rPr>
      <t xml:space="preserve">(3)</t>
    </r>
  </si>
  <si>
    <t xml:space="preserve">Nº DEL DOCUMENTO</t>
  </si>
  <si>
    <t xml:space="preserve">CONCEPTO</t>
  </si>
  <si>
    <t xml:space="preserve">APARTADO ANEXO IV</t>
  </si>
  <si>
    <t xml:space="preserve">BASE IMPONIBLE</t>
  </si>
  <si>
    <r>
      <rPr>
        <b val="true"/>
        <sz val="8"/>
        <color theme="1"/>
        <rFont val="Arial"/>
        <family val="0"/>
        <charset val="1"/>
      </rPr>
      <t xml:space="preserve">IVA </t>
    </r>
    <r>
      <rPr>
        <b val="true"/>
        <sz val="8"/>
        <color theme="0"/>
        <rFont val="Arial"/>
        <family val="0"/>
        <charset val="1"/>
      </rPr>
      <t xml:space="preserve">(4)</t>
    </r>
  </si>
  <si>
    <t xml:space="preserve">IVA  
(en funcion del % de prorrata de IVA)</t>
  </si>
  <si>
    <t xml:space="preserve">PORCENTAJE DE IMPUTACIÓN (SEGUN ANEXO II)</t>
  </si>
  <si>
    <t xml:space="preserve"> IMPORTE TOTAL DEL GASTO REALIZADO</t>
  </si>
  <si>
    <r>
      <rPr>
        <b val="true"/>
        <sz val="8"/>
        <color theme="1"/>
        <rFont val="Arial"/>
        <family val="0"/>
        <charset val="1"/>
      </rPr>
      <t xml:space="preserve">IMPORTE IMPUTADO A LA SUBVENCION </t>
    </r>
    <r>
      <rPr>
        <b val="true"/>
        <sz val="8"/>
        <color theme="0"/>
        <rFont val="Arial"/>
        <family val="0"/>
        <charset val="1"/>
      </rPr>
      <t xml:space="preserve">(5)</t>
    </r>
  </si>
  <si>
    <t xml:space="preserve">IMPORTE IMPUTADO A OTRAS SUBVENCIONES O INGRESOS</t>
  </si>
  <si>
    <t xml:space="preserve">IMPORTE A CARGO DE LA ENTIDAD </t>
  </si>
  <si>
    <t xml:space="preserve">FECHA DE EMISON</t>
  </si>
  <si>
    <t xml:space="preserve">FECHA DE PAGO</t>
  </si>
  <si>
    <t xml:space="preserve">TOTALES</t>
  </si>
  <si>
    <t xml:space="preserve">MARIA ATIENZA DE ANDRES</t>
  </si>
  <si>
    <t xml:space="preserve">44846886Z</t>
  </si>
  <si>
    <t xml:space="preserve">01/2025-01</t>
  </si>
  <si>
    <t xml:space="preserve">Nómina enero</t>
  </si>
  <si>
    <t xml:space="preserve">Apartado A.1</t>
  </si>
  <si>
    <t xml:space="preserve">20,00 %</t>
  </si>
  <si>
    <t xml:space="preserve">02/2025-02</t>
  </si>
  <si>
    <t xml:space="preserve">Nómina febrero</t>
  </si>
  <si>
    <t xml:space="preserve">03/2025-03</t>
  </si>
  <si>
    <t xml:space="preserve">Nómina marzo</t>
  </si>
  <si>
    <t xml:space="preserve">Apartado A.2</t>
  </si>
  <si>
    <t xml:space="preserve">04/2025-04</t>
  </si>
  <si>
    <t xml:space="preserve">Nómina abril</t>
  </si>
  <si>
    <t xml:space="preserve">Apartado A.3</t>
  </si>
  <si>
    <t xml:space="preserve">05/2025-05</t>
  </si>
  <si>
    <t xml:space="preserve">Nómina mayo</t>
  </si>
  <si>
    <t xml:space="preserve">Apartado A.4</t>
  </si>
  <si>
    <t xml:space="preserve">06/2025-06</t>
  </si>
  <si>
    <t xml:space="preserve">Extra junio</t>
  </si>
  <si>
    <t xml:space="preserve">Apartado A.5</t>
  </si>
  <si>
    <t xml:space="preserve">06/2025-07</t>
  </si>
  <si>
    <t xml:space="preserve">Nómina junio</t>
  </si>
  <si>
    <t xml:space="preserve">Apartado A.6</t>
  </si>
  <si>
    <t xml:space="preserve">07/2025-08</t>
  </si>
  <si>
    <t xml:space="preserve">Nómina julio</t>
  </si>
  <si>
    <t xml:space="preserve">Apartado A.7</t>
  </si>
  <si>
    <t xml:space="preserve">08/2025-09</t>
  </si>
  <si>
    <t xml:space="preserve">Nómina agosto</t>
  </si>
  <si>
    <t xml:space="preserve">Apartado A.8</t>
  </si>
  <si>
    <t xml:space="preserve">09/2025-10</t>
  </si>
  <si>
    <t xml:space="preserve">Nómina septiembre</t>
  </si>
  <si>
    <t xml:space="preserve">Apartado A.9</t>
  </si>
  <si>
    <t xml:space="preserve">10/2025-11</t>
  </si>
  <si>
    <t xml:space="preserve">Nómina octubre</t>
  </si>
  <si>
    <t xml:space="preserve">Apartado A.10</t>
  </si>
  <si>
    <t xml:space="preserve">11/2025-12</t>
  </si>
  <si>
    <t xml:space="preserve">Nómina noviembre</t>
  </si>
  <si>
    <t xml:space="preserve">Apartado A.11</t>
  </si>
  <si>
    <t xml:space="preserve">12/2025-13</t>
  </si>
  <si>
    <t xml:space="preserve">Paga extra diciembre</t>
  </si>
  <si>
    <t xml:space="preserve">12/2025-14</t>
  </si>
  <si>
    <t xml:space="preserve">Nómina diciembre</t>
  </si>
  <si>
    <t xml:space="preserve">TOTAL GASTOS</t>
  </si>
  <si>
    <t xml:space="preserve">BLANCA CRESPO ARNOLD</t>
  </si>
  <si>
    <t xml:space="preserve">28814473G</t>
  </si>
  <si>
    <t xml:space="preserve">01/2025-15</t>
  </si>
  <si>
    <t xml:space="preserve">7,00 %</t>
  </si>
  <si>
    <t xml:space="preserve">02/2025-16</t>
  </si>
  <si>
    <t xml:space="preserve">02/2025-17</t>
  </si>
  <si>
    <t xml:space="preserve">03/2025-18</t>
  </si>
  <si>
    <t xml:space="preserve">6,00 %</t>
  </si>
  <si>
    <t xml:space="preserve">04/2025-19</t>
  </si>
  <si>
    <t xml:space="preserve">05/2025-20</t>
  </si>
  <si>
    <t xml:space="preserve">05/2025-21</t>
  </si>
  <si>
    <t xml:space="preserve">06/2025-22</t>
  </si>
  <si>
    <t xml:space="preserve">06/2025-23</t>
  </si>
  <si>
    <t xml:space="preserve">07/2025-24</t>
  </si>
  <si>
    <t xml:space="preserve">08/2025-25</t>
  </si>
  <si>
    <t xml:space="preserve">09/2025-26</t>
  </si>
  <si>
    <t xml:space="preserve">10/2025-27</t>
  </si>
  <si>
    <t xml:space="preserve">11/2025-28</t>
  </si>
  <si>
    <t xml:space="preserve">12/2025-29</t>
  </si>
  <si>
    <t xml:space="preserve">12/2025-30</t>
  </si>
  <si>
    <t xml:space="preserve">SUSANA ORTEGA DIAZ</t>
  </si>
  <si>
    <t xml:space="preserve">25471211E</t>
  </si>
  <si>
    <t xml:space="preserve">01/2025-31</t>
  </si>
  <si>
    <t xml:space="preserve">10,00 %</t>
  </si>
  <si>
    <t xml:space="preserve">02/2025-32</t>
  </si>
  <si>
    <t xml:space="preserve">02/2025-33</t>
  </si>
  <si>
    <t xml:space="preserve">03/2025-34</t>
  </si>
  <si>
    <t xml:space="preserve">04/2025-35</t>
  </si>
  <si>
    <t xml:space="preserve">05/2025-36</t>
  </si>
  <si>
    <t xml:space="preserve">06/2025-37</t>
  </si>
  <si>
    <t xml:space="preserve">06/2025-38</t>
  </si>
  <si>
    <t xml:space="preserve">07/2025-39</t>
  </si>
  <si>
    <t xml:space="preserve">08/2025-40</t>
  </si>
  <si>
    <t xml:space="preserve">09/2025-41</t>
  </si>
  <si>
    <t xml:space="preserve">10/2025-42</t>
  </si>
  <si>
    <t xml:space="preserve">12/2025-43</t>
  </si>
  <si>
    <t xml:space="preserve">PAULA VIVIANA GORINI</t>
  </si>
  <si>
    <t xml:space="preserve">X5357493B</t>
  </si>
  <si>
    <t xml:space="preserve">01/2025-44</t>
  </si>
  <si>
    <t xml:space="preserve">50,00 %</t>
  </si>
  <si>
    <t xml:space="preserve">02/2025-45</t>
  </si>
  <si>
    <t xml:space="preserve">30,00 %</t>
  </si>
  <si>
    <t xml:space="preserve">02/2025-46</t>
  </si>
  <si>
    <t xml:space="preserve">03/2025-47</t>
  </si>
  <si>
    <t xml:space="preserve">04/2025-48</t>
  </si>
  <si>
    <t xml:space="preserve">05/2025-49</t>
  </si>
  <si>
    <t xml:space="preserve">06/2025-50</t>
  </si>
  <si>
    <t xml:space="preserve">06/2025-51</t>
  </si>
  <si>
    <t xml:space="preserve">07/2025-52</t>
  </si>
  <si>
    <t xml:space="preserve">08/2025-53</t>
  </si>
  <si>
    <t xml:space="preserve">09/2025-54</t>
  </si>
  <si>
    <t xml:space="preserve">10/2025-55</t>
  </si>
  <si>
    <t xml:space="preserve">11/2025-56</t>
  </si>
  <si>
    <t xml:space="preserve">12/2025-57</t>
  </si>
  <si>
    <t xml:space="preserve">12/2025-58</t>
  </si>
  <si>
    <t xml:space="preserve">AMAIA GÓMEZ CASQUERO</t>
  </si>
  <si>
    <t xml:space="preserve">78913802C</t>
  </si>
  <si>
    <t xml:space="preserve">04/2025-59</t>
  </si>
  <si>
    <t xml:space="preserve">05/2025-60</t>
  </si>
  <si>
    <t xml:space="preserve">06/2025-61</t>
  </si>
  <si>
    <t xml:space="preserve">06/2025-62</t>
  </si>
  <si>
    <t xml:space="preserve">07/2025-63</t>
  </si>
  <si>
    <t xml:space="preserve">08/2025-64</t>
  </si>
  <si>
    <t xml:space="preserve">09/2025-65</t>
  </si>
  <si>
    <t xml:space="preserve">10/2025-66</t>
  </si>
  <si>
    <t xml:space="preserve">11/2025-67</t>
  </si>
  <si>
    <t xml:space="preserve">12/2025-68</t>
  </si>
  <si>
    <t xml:space="preserve">12/2025-69</t>
  </si>
  <si>
    <t xml:space="preserve">CARLOS REY BACAICOA</t>
  </si>
  <si>
    <t xml:space="preserve">15842356W</t>
  </si>
  <si>
    <t xml:space="preserve">05/2025-70</t>
  </si>
  <si>
    <t xml:space="preserve">100,00 %</t>
  </si>
  <si>
    <t xml:space="preserve">05/2025-71</t>
  </si>
  <si>
    <t xml:space="preserve">05/2025-72</t>
  </si>
  <si>
    <t xml:space="preserve">SEGURIDAD SOCIAL</t>
  </si>
  <si>
    <t xml:space="preserve">Q2827003A</t>
  </si>
  <si>
    <t xml:space="preserve">01/01-2025-73</t>
  </si>
  <si>
    <t xml:space="preserve">CUOTAS S.S. 01/01-2025</t>
  </si>
  <si>
    <t xml:space="preserve">01/02-2025-74</t>
  </si>
  <si>
    <t xml:space="preserve">CUOTAS S.S. 02/02-2025</t>
  </si>
  <si>
    <t xml:space="preserve">01/03-2025-75</t>
  </si>
  <si>
    <t xml:space="preserve">CUOTAS S.S. 03/03-2025</t>
  </si>
  <si>
    <t xml:space="preserve">01/04-2025-76</t>
  </si>
  <si>
    <t xml:space="preserve">CUOTAS S.S. 04/04-2025</t>
  </si>
  <si>
    <t xml:space="preserve">01/05-2025-77</t>
  </si>
  <si>
    <t xml:space="preserve">CUOTAS S.S. 05/05-2025</t>
  </si>
  <si>
    <t xml:space="preserve">01/06-2025-78</t>
  </si>
  <si>
    <t xml:space="preserve">CUOTAS S.S. 06/06-2025</t>
  </si>
  <si>
    <t xml:space="preserve">01/07-2025-79</t>
  </si>
  <si>
    <t xml:space="preserve">CUOTAS S.S. 07/07-2025</t>
  </si>
  <si>
    <t xml:space="preserve">01/08-2025-80</t>
  </si>
  <si>
    <t xml:space="preserve">CUOTAS S.S. 08/08-2025</t>
  </si>
  <si>
    <t xml:space="preserve">01/09-2025-81</t>
  </si>
  <si>
    <t xml:space="preserve">CUOTAS S.S. 09/09-2025</t>
  </si>
  <si>
    <t xml:space="preserve">01/10-2025-82</t>
  </si>
  <si>
    <t xml:space="preserve">CUOTAS S.S. 10/10-2025</t>
  </si>
  <si>
    <t xml:space="preserve">01/11-2025-83</t>
  </si>
  <si>
    <t xml:space="preserve">CUOTAS S.S. 11/11-2025</t>
  </si>
  <si>
    <t xml:space="preserve">01/12-2025-84</t>
  </si>
  <si>
    <t xml:space="preserve">CUOTAS S.S. 12/12-2025</t>
  </si>
  <si>
    <t xml:space="preserve">Dinahosting S.L</t>
  </si>
  <si>
    <t xml:space="preserve">B15805419</t>
  </si>
  <si>
    <t xml:space="preserve">B2959163</t>
  </si>
  <si>
    <t xml:space="preserve">Renovación de VPS Administrado</t>
  </si>
  <si>
    <t xml:space="preserve">100 %</t>
  </si>
  <si>
    <t xml:space="preserve">B2988981</t>
  </si>
  <si>
    <t xml:space="preserve">Dominios webs</t>
  </si>
  <si>
    <t xml:space="preserve">B2989469</t>
  </si>
  <si>
    <t xml:space="preserve">B3121154</t>
  </si>
  <si>
    <t xml:space="preserve">Arsys Internet S.L.U.</t>
  </si>
  <si>
    <t xml:space="preserve">B-85294916</t>
  </si>
  <si>
    <t xml:space="preserve">ES2025A013257</t>
  </si>
  <si>
    <t xml:space="preserve">Hosting Ilimitado Linux reasnet.com</t>
  </si>
  <si>
    <t xml:space="preserve">ES2025A058778</t>
  </si>
  <si>
    <t xml:space="preserve">ES2025A103775</t>
  </si>
  <si>
    <t xml:space="preserve">ES2025A149611</t>
  </si>
  <si>
    <t xml:space="preserve">ES2025A193919</t>
  </si>
  <si>
    <t xml:space="preserve">ES2025A239090</t>
  </si>
  <si>
    <t xml:space="preserve">ES2025A282965</t>
  </si>
  <si>
    <t xml:space="preserve">ES2025A326040</t>
  </si>
  <si>
    <t xml:space="preserve">ES2025A367058</t>
  </si>
  <si>
    <t xml:space="preserve">ES2025A410999</t>
  </si>
  <si>
    <t xml:space="preserve">ES2025E059191</t>
  </si>
  <si>
    <t xml:space="preserve">ES2025A456363</t>
  </si>
  <si>
    <t xml:space="preserve">ES2025E071040</t>
  </si>
  <si>
    <t xml:space="preserve">Dabne Tecnologías de la Información</t>
  </si>
  <si>
    <t xml:space="preserve">F84291905</t>
  </si>
  <si>
    <t xml:space="preserve">2025-0007</t>
  </si>
  <si>
    <t xml:space="preserve">mantenimiento web</t>
  </si>
  <si>
    <t xml:space="preserve">2025-0017</t>
  </si>
  <si>
    <t xml:space="preserve">2025-0018</t>
  </si>
  <si>
    <t xml:space="preserve">2025-0031</t>
  </si>
  <si>
    <t xml:space="preserve">2025/0039</t>
  </si>
  <si>
    <t xml:space="preserve">2025-0046</t>
  </si>
  <si>
    <t xml:space="preserve">2025-0064</t>
  </si>
  <si>
    <t xml:space="preserve">2025-0065</t>
  </si>
  <si>
    <t xml:space="preserve">2025-0073</t>
  </si>
  <si>
    <t xml:space="preserve">Grupo La Veloz S. Coop.</t>
  </si>
  <si>
    <t xml:space="preserve">F50633478</t>
  </si>
  <si>
    <t xml:space="preserve">N/43/25</t>
  </si>
  <si>
    <t xml:space="preserve">Asesoría contable</t>
  </si>
  <si>
    <t xml:space="preserve">N/124/25</t>
  </si>
  <si>
    <t xml:space="preserve">N/333/25</t>
  </si>
  <si>
    <t xml:space="preserve">N/434/25</t>
  </si>
  <si>
    <t xml:space="preserve">N/541/25</t>
  </si>
  <si>
    <t xml:space="preserve">N/692/25</t>
  </si>
  <si>
    <t xml:space="preserve">N/783/25</t>
  </si>
  <si>
    <t xml:space="preserve">N/897/25</t>
  </si>
  <si>
    <t xml:space="preserve">N/1018/25</t>
  </si>
  <si>
    <t xml:space="preserve">ALTEC SERVICIOS PROFESIONALES, S.L.</t>
  </si>
  <si>
    <t xml:space="preserve">B71086813</t>
  </si>
  <si>
    <t xml:space="preserve">93</t>
  </si>
  <si>
    <t xml:space="preserve">Asesoría laboral</t>
  </si>
  <si>
    <t xml:space="preserve">217</t>
  </si>
  <si>
    <t xml:space="preserve">AMANAR en RED S. Coop.</t>
  </si>
  <si>
    <t xml:space="preserve">F99487696</t>
  </si>
  <si>
    <t xml:space="preserve">577</t>
  </si>
  <si>
    <t xml:space="preserve">721</t>
  </si>
  <si>
    <t xml:space="preserve">869</t>
  </si>
  <si>
    <t xml:space="preserve">1120</t>
  </si>
  <si>
    <t xml:space="preserve">1268</t>
  </si>
  <si>
    <t xml:space="preserve">1412</t>
  </si>
  <si>
    <t xml:space="preserve">1567</t>
  </si>
  <si>
    <t xml:space="preserve">Mailchip</t>
  </si>
  <si>
    <t xml:space="preserve">EU372008134</t>
  </si>
  <si>
    <t xml:space="preserve">MC12135563</t>
  </si>
  <si>
    <t xml:space="preserve">Servicio de marketing digital</t>
  </si>
  <si>
    <t xml:space="preserve">MC12260691</t>
  </si>
  <si>
    <t xml:space="preserve">MC12382955</t>
  </si>
  <si>
    <t xml:space="preserve">MC12506967</t>
  </si>
  <si>
    <t xml:space="preserve">MC12631071</t>
  </si>
  <si>
    <t xml:space="preserve">MC12757007</t>
  </si>
  <si>
    <t xml:space="preserve">MC12879555</t>
  </si>
  <si>
    <t xml:space="preserve">MC13004207</t>
  </si>
  <si>
    <t xml:space="preserve">MC13133599</t>
  </si>
  <si>
    <t xml:space="preserve">MC13263387</t>
  </si>
  <si>
    <t xml:space="preserve">MC13397519</t>
  </si>
  <si>
    <t xml:space="preserve">JOTFORM INC.</t>
  </si>
  <si>
    <t xml:space="preserve">46-5729519</t>
  </si>
  <si>
    <t xml:space="preserve">INV-4504910445-1737194650</t>
  </si>
  <si>
    <t xml:space="preserve">SERVICIO DE CUESTIONARIO</t>
  </si>
  <si>
    <t xml:space="preserve">INV-4504910445-1739873055</t>
  </si>
  <si>
    <t xml:space="preserve">INV-4504910445-1742288645</t>
  </si>
  <si>
    <t xml:space="preserve">INV-4504910445-1744967055</t>
  </si>
  <si>
    <t xml:space="preserve">OnTheGoSystems Limited</t>
  </si>
  <si>
    <t xml:space="preserve">EU196000846</t>
  </si>
  <si>
    <t xml:space="preserve">16630728</t>
  </si>
  <si>
    <t xml:space="preserve">FUNCIÓN MULTILINGUE PAGINA WEB</t>
  </si>
  <si>
    <t xml:space="preserve">Sepra, Servei de Prevenció Integral,SCC</t>
  </si>
  <si>
    <t xml:space="preserve">F-63097992</t>
  </si>
  <si>
    <t xml:space="preserve">25061854</t>
  </si>
  <si>
    <t xml:space="preserve">Prevención de riesgos laborales</t>
  </si>
  <si>
    <t xml:space="preserve">CRIBOGRAFIA - Iván Garín Pérez</t>
  </si>
  <si>
    <t xml:space="preserve">25177331J</t>
  </si>
  <si>
    <t xml:space="preserve">FACT-25-0094</t>
  </si>
  <si>
    <t xml:space="preserve">Alfombrilla VANIAT aniversario Reas</t>
  </si>
  <si>
    <t xml:space="preserve">Zoom Communications, Inc.</t>
  </si>
  <si>
    <t xml:space="preserve">61-1648780</t>
  </si>
  <si>
    <t xml:space="preserve">INV314308483</t>
  </si>
  <si>
    <t xml:space="preserve">servicio de video conferencia</t>
  </si>
  <si>
    <t xml:space="preserve">E.I. SAOPRAT S.L.U.</t>
  </si>
  <si>
    <t xml:space="preserve">B-64482151</t>
  </si>
  <si>
    <t xml:space="preserve">2025674</t>
  </si>
  <si>
    <t xml:space="preserve">Redefinición estratégica y de la marca REAS</t>
  </si>
  <si>
    <t xml:space="preserve">PAULINA FLORES RUIZ</t>
  </si>
  <si>
    <t xml:space="preserve">24548067-Y</t>
  </si>
  <si>
    <t xml:space="preserve">12-2025</t>
  </si>
  <si>
    <t xml:space="preserve">Impulso de la campaña Vámonos Juntas</t>
  </si>
  <si>
    <t xml:space="preserve">Graficas vela S.l</t>
  </si>
  <si>
    <t xml:space="preserve">B50444678</t>
  </si>
  <si>
    <t xml:space="preserve">A 21465</t>
  </si>
  <si>
    <t xml:space="preserve">Impresión materiales 30 aniversario</t>
  </si>
  <si>
    <t xml:space="preserve">Previsora general</t>
  </si>
  <si>
    <t xml:space="preserve">V-58782145</t>
  </si>
  <si>
    <t xml:space="preserve">Poliza</t>
  </si>
  <si>
    <t xml:space="preserve">seguro</t>
  </si>
  <si>
    <t xml:space="preserve">Arç Correduria de seguros SCCCL</t>
  </si>
  <si>
    <t xml:space="preserve">F58302001</t>
  </si>
  <si>
    <t xml:space="preserve">Confederación Empresarial española de la economía social </t>
  </si>
  <si>
    <t xml:space="preserve">G-80484470</t>
  </si>
  <si>
    <t xml:space="preserve">19</t>
  </si>
  <si>
    <t xml:space="preserve">cuoto CEPES</t>
  </si>
  <si>
    <t xml:space="preserve">DNI</t>
  </si>
  <si>
    <t xml:space="preserve">MES</t>
  </si>
  <si>
    <t xml:space="preserve">CATEGORÍA PROFESIONAL</t>
  </si>
  <si>
    <t xml:space="preserve">JORNADA EN HORAS/SEMANA</t>
  </si>
  <si>
    <t xml:space="preserve">% HORAS TRABAJADAS</t>
  </si>
  <si>
    <t xml:space="preserve">% DEDICACIÓN</t>
  </si>
  <si>
    <t xml:space="preserve">PAGAS EXTRAS</t>
  </si>
  <si>
    <t xml:space="preserve">IMPORTE IMPUTADO POR LA ENTIDAD</t>
  </si>
  <si>
    <t xml:space="preserve">LÍMITE MÁXIMO A IMPUTAR</t>
  </si>
  <si>
    <t xml:space="preserve">CONTROL CUANTÍA GLOBAL</t>
  </si>
  <si>
    <t xml:space="preserve">Pagas no prorrateadas</t>
  </si>
  <si>
    <t xml:space="preserve">OK</t>
  </si>
  <si>
    <t xml:space="preserve">Para cumplimentar la pestaña del gastos siga las indicaciones facilitadas en los códigos que se relacionan a continuación:</t>
  </si>
  <si>
    <t xml:space="preserve">(1)</t>
  </si>
  <si>
    <t xml:space="preserve">El importe ha de coincidir con el consignado en el formulario (Anexo I) y en el presupuesto (Anexo IV)</t>
  </si>
  <si>
    <t xml:space="preserve">(2)</t>
  </si>
  <si>
    <t xml:space="preserve">El importe total imputado a la subvención deberá ser igual o inferior al importe de la subvención concedida</t>
  </si>
  <si>
    <t xml:space="preserve">(3)</t>
  </si>
  <si>
    <t xml:space="preserve">El CIF o NIF no llevará espacios en blanco ni signos diferentes a letras o numeros y para un mismo acreedor el dato sera el mismo y coincidira con el que figure en el documento justificativo</t>
  </si>
  <si>
    <t xml:space="preserve">(4)</t>
  </si>
  <si>
    <t xml:space="preserve">Imprescindible presentar documento oficial que acredite exención de IVA,  si se dispusiese del mismo, o en su defecto la liquidación del impuesto con su modelo correspondiente</t>
  </si>
  <si>
    <t xml:space="preserve">(5)</t>
  </si>
  <si>
    <t xml:space="preserve">El gasto subvencionable y, por tanto, imputable de las facturas será: Base imponible +  IVA  no deducible en la liquidación del impuesto</t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</si>
</sst>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;;;"/>
    <numFmt numFmtId="166" formatCode="#,##0.00\ [$€-1]"/>
    <numFmt numFmtId="167" formatCode="@"/>
    <numFmt numFmtId="168" formatCode="#,##0.00&quot; €&quot;"/>
    <numFmt numFmtId="169" formatCode="0\ %"/>
    <numFmt numFmtId="170" formatCode="0.00\ %"/>
    <numFmt numFmtId="171" formatCode="d/m/yyyy"/>
    <numFmt numFmtId="172" formatCode="General"/>
    <numFmt numFmtId="173" formatCode="0.00"/>
    <numFmt numFmtId="174" formatCode="dd/mm/yyyy"/>
    <numFmt numFmtId="175" formatCode="#,##0.00"/>
    <numFmt numFmtId="176" formatCode="_-* #,##0.00&quot; €&quot;_-;\-* #,##0.00&quot; €&quot;_-;_-* \-??&quot; €&quot;_-;_-@"/>
    <numFmt numFmtId="177" formatCode="#,##0.00&quot; €&quot;"/>
    <numFmt numFmtId="178" formatCode="0\ %"/>
    <numFmt numFmtId="179" formatCode="0.00\ %"/>
  </numFmts>
  <fonts count="26">
    <font>
      <sz val="11"/>
      <color theme="1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theme="1"/>
      <name val="Arial"/>
      <family val="0"/>
      <charset val="1"/>
    </font>
    <font>
      <i val="true"/>
      <sz val="12"/>
      <color theme="1"/>
      <name val="Arial"/>
      <family val="0"/>
      <charset val="1"/>
    </font>
    <font>
      <b val="true"/>
      <sz val="10"/>
      <color theme="1"/>
      <name val="Arial"/>
      <family val="0"/>
      <charset val="1"/>
    </font>
    <font>
      <b val="true"/>
      <sz val="11"/>
      <color theme="1"/>
      <name val="Arial"/>
      <family val="0"/>
      <charset val="1"/>
    </font>
    <font>
      <b val="true"/>
      <sz val="10"/>
      <color rgb="FFC55A11"/>
      <name val="Arial"/>
      <family val="0"/>
      <charset val="1"/>
    </font>
    <font>
      <b val="true"/>
      <sz val="12"/>
      <color theme="1"/>
      <name val="Calibri"/>
      <family val="0"/>
      <charset val="1"/>
    </font>
    <font>
      <b val="true"/>
      <u val="single"/>
      <sz val="12"/>
      <color theme="1"/>
      <name val="Calibri"/>
      <family val="0"/>
      <charset val="1"/>
    </font>
    <font>
      <b val="true"/>
      <sz val="12"/>
      <color rgb="FFFF0000"/>
      <name val="Calibri"/>
      <family val="0"/>
      <charset val="1"/>
    </font>
    <font>
      <b val="true"/>
      <u val="single"/>
      <sz val="11"/>
      <color rgb="FFFF0000"/>
      <name val="Calibri"/>
      <family val="0"/>
      <charset val="1"/>
    </font>
    <font>
      <b val="true"/>
      <sz val="8"/>
      <color theme="1"/>
      <name val="Arial"/>
      <family val="0"/>
      <charset val="1"/>
    </font>
    <font>
      <b val="true"/>
      <sz val="8"/>
      <color theme="0"/>
      <name val="Arial"/>
      <family val="0"/>
      <charset val="1"/>
    </font>
    <font>
      <sz val="9"/>
      <color theme="1"/>
      <name val="Arial"/>
      <family val="0"/>
      <charset val="1"/>
    </font>
    <font>
      <sz val="11"/>
      <color rgb="FF000000"/>
      <name val="Arial"/>
      <family val="0"/>
      <charset val="1"/>
    </font>
    <font>
      <sz val="11"/>
      <color theme="1"/>
      <name val="Arial"/>
      <family val="0"/>
      <charset val="1"/>
    </font>
    <font>
      <sz val="11"/>
      <color theme="0"/>
      <name val="Calibri"/>
      <family val="0"/>
      <charset val="1"/>
    </font>
    <font>
      <b val="true"/>
      <sz val="11"/>
      <color rgb="FFFF0000"/>
      <name val="Calibri"/>
      <family val="0"/>
      <charset val="1"/>
    </font>
    <font>
      <b val="true"/>
      <sz val="9"/>
      <color theme="1"/>
      <name val="Arial"/>
      <family val="0"/>
      <charset val="1"/>
    </font>
    <font>
      <sz val="11"/>
      <color rgb="FF000000"/>
      <name val="Calibri"/>
      <family val="0"/>
      <charset val="1"/>
    </font>
    <font>
      <b val="true"/>
      <sz val="11"/>
      <color rgb="FFFF0000"/>
      <name val="Arial"/>
      <family val="0"/>
      <charset val="1"/>
    </font>
    <font>
      <sz val="7.5"/>
      <name val="Gill Sans"/>
      <family val="0"/>
    </font>
    <font>
      <b val="true"/>
      <sz val="11"/>
      <color rgb="FFC55A11"/>
      <name val="Calibri"/>
      <family val="0"/>
      <charset val="1"/>
    </font>
    <font>
      <sz val="8"/>
      <color theme="1"/>
      <name val="Arial"/>
      <family val="0"/>
      <charset val="1"/>
    </font>
  </fonts>
  <fills count="10">
    <fill>
      <patternFill patternType="none"/>
    </fill>
    <fill>
      <patternFill patternType="gray125"/>
    </fill>
    <fill>
      <patternFill patternType="solid">
        <fgColor rgb="FFE7E6E6"/>
        <bgColor rgb="FFDEEAF6"/>
      </patternFill>
    </fill>
    <fill>
      <patternFill patternType="solid">
        <fgColor rgb="FFF2F2F2"/>
        <bgColor rgb="FFE7E6E6"/>
      </patternFill>
    </fill>
    <fill>
      <patternFill patternType="solid">
        <fgColor rgb="FFFEF2CB"/>
        <bgColor rgb="FFF2F2F2"/>
      </patternFill>
    </fill>
    <fill>
      <patternFill patternType="solid">
        <fgColor rgb="FFBDD6EE"/>
        <bgColor rgb="FFD0CECE"/>
      </patternFill>
    </fill>
    <fill>
      <patternFill patternType="solid">
        <fgColor rgb="FFFFFFFF"/>
        <bgColor rgb="FFF2F2F2"/>
      </patternFill>
    </fill>
    <fill>
      <patternFill patternType="solid">
        <fgColor rgb="FFDEEAF6"/>
        <bgColor rgb="FFE7E6E6"/>
      </patternFill>
    </fill>
    <fill>
      <patternFill patternType="solid">
        <fgColor rgb="FFF4B083"/>
        <bgColor rgb="FFEDA39B"/>
      </patternFill>
    </fill>
    <fill>
      <patternFill patternType="solid">
        <fgColor rgb="FFD0CECE"/>
        <bgColor rgb="FFBDD6EE"/>
      </patternFill>
    </fill>
  </fills>
  <borders count="18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3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3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7" fillId="3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6" fillId="3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6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6" fillId="6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6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5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6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0" fillId="6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7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2" fontId="15" fillId="7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6" fillId="6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3" fontId="20" fillId="8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2" fontId="20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19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1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1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9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9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5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0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5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1" fontId="22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7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0" fillId="6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17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6" fillId="6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0" borderId="1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8" fontId="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5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17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17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7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5" fillId="6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1" fontId="15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0" borderId="1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15" fillId="0" borderId="1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5" fillId="6" borderId="1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5" fontId="15" fillId="6" borderId="1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1" fontId="15" fillId="0" borderId="1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1" fontId="1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71" fontId="15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5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9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9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2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6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9" fontId="0" fillId="0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6" fontId="0" fillId="0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4" fillId="6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3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6">
    <dxf>
      <font>
        <b val="1"/>
      </font>
      <fill>
        <patternFill>
          <bgColor rgb="FFF4B083"/>
        </patternFill>
      </fill>
    </dxf>
    <dxf>
      <font>
        <b val="1"/>
      </font>
      <fill>
        <patternFill>
          <bgColor rgb="FFA8D08D"/>
        </patternFill>
      </fill>
    </dxf>
    <dxf>
      <font>
        <b val="1"/>
        <color rgb="FFFF0000"/>
      </font>
      <fill>
        <patternFill/>
      </fill>
    </dxf>
    <dxf>
      <fill>
        <patternFill/>
      </fill>
      <border diagonalUp="false" diagonalDown="false">
        <left style="thin"/>
        <right style="thin"/>
        <top style="thin"/>
        <bottom style="thin"/>
        <diagonal/>
      </border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rgb="FFEDA39B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6100"/>
      <rgbColor rgb="FF000080"/>
      <rgbColor rgb="FF808000"/>
      <rgbColor rgb="FF800080"/>
      <rgbColor rgb="FF008080"/>
      <rgbColor rgb="FFD0CECE"/>
      <rgbColor rgb="FF808080"/>
      <rgbColor rgb="FF9999FF"/>
      <rgbColor rgb="FF993366"/>
      <rgbColor rgb="FFFEF2CB"/>
      <rgbColor rgb="FFDEEAF6"/>
      <rgbColor rgb="FF660066"/>
      <rgbColor rgb="FFFF8080"/>
      <rgbColor rgb="FF0066CC"/>
      <rgbColor rgb="FFBDD6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C6EFCE"/>
      <rgbColor rgb="FFE7E6E6"/>
      <rgbColor rgb="FFA8D08D"/>
      <rgbColor rgb="FFEDA39B"/>
      <rgbColor rgb="FFCC99FF"/>
      <rgbColor rgb="FFF4B083"/>
      <rgbColor rgb="FF3366FF"/>
      <rgbColor rgb="FF33CCCC"/>
      <rgbColor rgb="FF99CC00"/>
      <rgbColor rgb="FFFFCC00"/>
      <rgbColor rgb="FFFF9900"/>
      <rgbColor rgb="FFC55A11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jpe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3.jpe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4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14</xdr:col>
      <xdr:colOff>276120</xdr:colOff>
      <xdr:row>0</xdr:row>
      <xdr:rowOff>399960</xdr:rowOff>
    </xdr:from>
    <xdr:to>
      <xdr:col>15</xdr:col>
      <xdr:colOff>1017360</xdr:colOff>
      <xdr:row>0</xdr:row>
      <xdr:rowOff>742680</xdr:rowOff>
    </xdr:to>
    <xdr:sp>
      <xdr:nvSpPr>
        <xdr:cNvPr id="0" name="Shape 3"/>
        <xdr:cNvSpPr/>
      </xdr:nvSpPr>
      <xdr:spPr>
        <a:xfrm>
          <a:off x="22904280" y="399960"/>
          <a:ext cx="2238120" cy="34272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anchor="t">
          <a:noAutofit/>
        </a:bodyPr>
        <a:p>
          <a:pPr marL="14760">
            <a:lnSpc>
              <a:spcPct val="106000"/>
            </a:lnSpc>
            <a:tabLst>
              <a:tab algn="l" pos="0"/>
            </a:tabLst>
          </a:pPr>
          <a:r>
            <a:rPr b="0" lang="en-US" sz="750" spc="-1" strike="noStrike">
              <a:latin typeface="Gill Sans"/>
              <a:ea typeface="Gill Sans"/>
            </a:rPr>
            <a:t>DIRECCIÓN GENERAL DE LA ECONOMÍA SOCIAL Y DE LA RESPONSABILIDAD SOCIAL DE LAS EMPRESAS</a:t>
          </a:r>
          <a:endParaRPr b="0" lang="es-ES" sz="750" spc="-1" strike="noStrike">
            <a:latin typeface="Times New Roman"/>
          </a:endParaRPr>
        </a:p>
      </xdr:txBody>
    </xdr:sp>
    <xdr:clientData/>
  </xdr:twoCellAnchor>
  <xdr:twoCellAnchor editAs="oneCell">
    <xdr:from>
      <xdr:col>14</xdr:col>
      <xdr:colOff>276120</xdr:colOff>
      <xdr:row>0</xdr:row>
      <xdr:rowOff>104760</xdr:rowOff>
    </xdr:from>
    <xdr:to>
      <xdr:col>15</xdr:col>
      <xdr:colOff>1036440</xdr:colOff>
      <xdr:row>0</xdr:row>
      <xdr:rowOff>409320</xdr:rowOff>
    </xdr:to>
    <xdr:sp>
      <xdr:nvSpPr>
        <xdr:cNvPr id="1" name="Shape 4"/>
        <xdr:cNvSpPr/>
      </xdr:nvSpPr>
      <xdr:spPr>
        <a:xfrm>
          <a:off x="22904280" y="104760"/>
          <a:ext cx="2257200" cy="304560"/>
        </a:xfrm>
        <a:prstGeom prst="rect">
          <a:avLst/>
        </a:prstGeom>
        <a:solidFill>
          <a:srgbClr val="ffffff"/>
        </a:solidFill>
        <a:ln w="12700">
          <a:solidFill>
            <a:srgbClr val="ffffff"/>
          </a:solidFill>
          <a:miter/>
        </a:ln>
      </xdr:spPr>
      <xdr:style>
        <a:lnRef idx="0"/>
        <a:fillRef idx="0"/>
        <a:effectRef idx="0"/>
        <a:fontRef idx="minor"/>
      </xdr:style>
      <xdr:txBody>
        <a:bodyPr anchor="t">
          <a:noAutofit/>
        </a:bodyPr>
        <a:p>
          <a:pPr>
            <a:lnSpc>
              <a:spcPct val="106000"/>
            </a:lnSpc>
            <a:tabLst>
              <a:tab algn="l" pos="0"/>
            </a:tabLst>
          </a:pPr>
          <a:r>
            <a:rPr b="0" lang="en-US" sz="750" spc="-1" strike="noStrike">
              <a:latin typeface="Gill Sans"/>
              <a:ea typeface="Gill Sans"/>
            </a:rPr>
            <a:t>SECRETARÍA DE ESTADO </a:t>
          </a:r>
          <a:endParaRPr b="0" lang="es-ES" sz="750" spc="-1" strike="noStrike">
            <a:latin typeface="Times New Roman"/>
          </a:endParaRPr>
        </a:p>
        <a:p>
          <a:pPr>
            <a:lnSpc>
              <a:spcPct val="106000"/>
            </a:lnSpc>
            <a:tabLst>
              <a:tab algn="l" pos="0"/>
            </a:tabLst>
          </a:pPr>
          <a:r>
            <a:rPr b="0" lang="en-US" sz="750" spc="-1" strike="noStrike">
              <a:latin typeface="Gill Sans"/>
              <a:ea typeface="Gill Sans"/>
            </a:rPr>
            <a:t>DE ECONOMÍA SOCIAL</a:t>
          </a:r>
          <a:endParaRPr b="0" lang="es-ES" sz="750" spc="-1" strike="noStrike">
            <a:latin typeface="Times New Roman"/>
          </a:endParaRPr>
        </a:p>
      </xdr:txBody>
    </xdr:sp>
    <xdr:clientData/>
  </xdr:twoCellAnchor>
  <xdr:twoCellAnchor editAs="oneCell">
    <xdr:from>
      <xdr:col>1</xdr:col>
      <xdr:colOff>581040</xdr:colOff>
      <xdr:row>0</xdr:row>
      <xdr:rowOff>123840</xdr:rowOff>
    </xdr:from>
    <xdr:to>
      <xdr:col>2</xdr:col>
      <xdr:colOff>713880</xdr:colOff>
      <xdr:row>0</xdr:row>
      <xdr:rowOff>790200</xdr:rowOff>
    </xdr:to>
    <xdr:pic>
      <xdr:nvPicPr>
        <xdr:cNvPr id="2" name="image2.png" descr=""/>
        <xdr:cNvPicPr/>
      </xdr:nvPicPr>
      <xdr:blipFill>
        <a:blip r:embed="rId1"/>
        <a:stretch/>
      </xdr:blipFill>
      <xdr:spPr>
        <a:xfrm>
          <a:off x="1495440" y="123840"/>
          <a:ext cx="1047240" cy="6663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66600</xdr:colOff>
      <xdr:row>0</xdr:row>
      <xdr:rowOff>190440</xdr:rowOff>
    </xdr:from>
    <xdr:to>
      <xdr:col>1</xdr:col>
      <xdr:colOff>618840</xdr:colOff>
      <xdr:row>0</xdr:row>
      <xdr:rowOff>694800</xdr:rowOff>
    </xdr:to>
    <xdr:pic>
      <xdr:nvPicPr>
        <xdr:cNvPr id="3" name="image1.jpg" descr=""/>
        <xdr:cNvPicPr/>
      </xdr:nvPicPr>
      <xdr:blipFill>
        <a:blip r:embed="rId2"/>
        <a:stretch/>
      </xdr:blipFill>
      <xdr:spPr>
        <a:xfrm>
          <a:off x="981000" y="190440"/>
          <a:ext cx="552240" cy="5043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552600</xdr:colOff>
      <xdr:row>0</xdr:row>
      <xdr:rowOff>399960</xdr:rowOff>
    </xdr:from>
    <xdr:to>
      <xdr:col>10</xdr:col>
      <xdr:colOff>1328040</xdr:colOff>
      <xdr:row>1</xdr:row>
      <xdr:rowOff>94680</xdr:rowOff>
    </xdr:to>
    <xdr:sp>
      <xdr:nvSpPr>
        <xdr:cNvPr id="4" name="Shape 5"/>
        <xdr:cNvSpPr/>
      </xdr:nvSpPr>
      <xdr:spPr>
        <a:xfrm>
          <a:off x="18343440" y="399960"/>
          <a:ext cx="2752200" cy="69480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anchor="t">
          <a:noAutofit/>
        </a:bodyPr>
        <a:p>
          <a:pPr marL="14760">
            <a:lnSpc>
              <a:spcPct val="106000"/>
            </a:lnSpc>
            <a:tabLst>
              <a:tab algn="l" pos="0"/>
            </a:tabLst>
          </a:pPr>
          <a:r>
            <a:rPr b="0" lang="en-US" sz="750" spc="-1" strike="noStrike">
              <a:latin typeface="Gill Sans"/>
              <a:ea typeface="Gill Sans"/>
            </a:rPr>
            <a:t>DIRECCIÓN GENERAL DE LA ECONOMÍA SOCIAL Y DE LA RESPONSABILIDAD SOCIAL DE LAS EMPRESAS</a:t>
          </a:r>
          <a:endParaRPr b="0" lang="es-ES" sz="750" spc="-1" strike="noStrike">
            <a:latin typeface="Times New Roman"/>
          </a:endParaRPr>
        </a:p>
      </xdr:txBody>
    </xdr:sp>
    <xdr:clientData/>
  </xdr:twoCellAnchor>
  <xdr:twoCellAnchor editAs="oneCell">
    <xdr:from>
      <xdr:col>9</xdr:col>
      <xdr:colOff>542880</xdr:colOff>
      <xdr:row>0</xdr:row>
      <xdr:rowOff>104760</xdr:rowOff>
    </xdr:from>
    <xdr:to>
      <xdr:col>10</xdr:col>
      <xdr:colOff>1318320</xdr:colOff>
      <xdr:row>0</xdr:row>
      <xdr:rowOff>447480</xdr:rowOff>
    </xdr:to>
    <xdr:sp>
      <xdr:nvSpPr>
        <xdr:cNvPr id="5" name="Shape 6"/>
        <xdr:cNvSpPr/>
      </xdr:nvSpPr>
      <xdr:spPr>
        <a:xfrm>
          <a:off x="18333720" y="104760"/>
          <a:ext cx="2752200" cy="342720"/>
        </a:xfrm>
        <a:prstGeom prst="rect">
          <a:avLst/>
        </a:prstGeom>
        <a:solidFill>
          <a:srgbClr val="ffffff"/>
        </a:solidFill>
        <a:ln w="12700">
          <a:solidFill>
            <a:srgbClr val="ffffff"/>
          </a:solidFill>
          <a:miter/>
        </a:ln>
      </xdr:spPr>
      <xdr:style>
        <a:lnRef idx="0"/>
        <a:fillRef idx="0"/>
        <a:effectRef idx="0"/>
        <a:fontRef idx="minor"/>
      </xdr:style>
      <xdr:txBody>
        <a:bodyPr anchor="t">
          <a:noAutofit/>
        </a:bodyPr>
        <a:p>
          <a:pPr>
            <a:lnSpc>
              <a:spcPct val="106000"/>
            </a:lnSpc>
            <a:tabLst>
              <a:tab algn="l" pos="0"/>
            </a:tabLst>
          </a:pPr>
          <a:r>
            <a:rPr b="0" lang="en-US" sz="750" spc="-1" strike="noStrike">
              <a:latin typeface="Gill Sans"/>
              <a:ea typeface="Gill Sans"/>
            </a:rPr>
            <a:t>SECRETARÍA DE ESTADO </a:t>
          </a:r>
          <a:endParaRPr b="0" lang="es-ES" sz="750" spc="-1" strike="noStrike">
            <a:latin typeface="Times New Roman"/>
          </a:endParaRPr>
        </a:p>
        <a:p>
          <a:pPr>
            <a:lnSpc>
              <a:spcPct val="106000"/>
            </a:lnSpc>
            <a:tabLst>
              <a:tab algn="l" pos="0"/>
            </a:tabLst>
          </a:pPr>
          <a:r>
            <a:rPr b="0" lang="en-US" sz="750" spc="-1" strike="noStrike">
              <a:latin typeface="Gill Sans"/>
              <a:ea typeface="Gill Sans"/>
            </a:rPr>
            <a:t>DE ECONOMÍA SOCIAL</a:t>
          </a:r>
          <a:endParaRPr b="0" lang="es-ES" sz="750" spc="-1" strike="noStrike"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0</xdr:row>
      <xdr:rowOff>66600</xdr:rowOff>
    </xdr:from>
    <xdr:to>
      <xdr:col>2</xdr:col>
      <xdr:colOff>923400</xdr:colOff>
      <xdr:row>0</xdr:row>
      <xdr:rowOff>694800</xdr:rowOff>
    </xdr:to>
    <xdr:pic>
      <xdr:nvPicPr>
        <xdr:cNvPr id="6" name="image2.png" descr=""/>
        <xdr:cNvPicPr/>
      </xdr:nvPicPr>
      <xdr:blipFill>
        <a:blip r:embed="rId1"/>
        <a:stretch/>
      </xdr:blipFill>
      <xdr:spPr>
        <a:xfrm>
          <a:off x="3953520" y="66600"/>
          <a:ext cx="923400" cy="6282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76320</xdr:colOff>
      <xdr:row>0</xdr:row>
      <xdr:rowOff>171360</xdr:rowOff>
    </xdr:from>
    <xdr:to>
      <xdr:col>1</xdr:col>
      <xdr:colOff>590400</xdr:colOff>
      <xdr:row>0</xdr:row>
      <xdr:rowOff>628200</xdr:rowOff>
    </xdr:to>
    <xdr:pic>
      <xdr:nvPicPr>
        <xdr:cNvPr id="7" name="image3.jpg" descr=""/>
        <xdr:cNvPicPr/>
      </xdr:nvPicPr>
      <xdr:blipFill>
        <a:blip r:embed="rId2"/>
        <a:stretch/>
      </xdr:blipFill>
      <xdr:spPr>
        <a:xfrm>
          <a:off x="2053080" y="171360"/>
          <a:ext cx="514080" cy="4568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419040</xdr:colOff>
      <xdr:row>0</xdr:row>
      <xdr:rowOff>428760</xdr:rowOff>
    </xdr:from>
    <xdr:to>
      <xdr:col>6</xdr:col>
      <xdr:colOff>790560</xdr:colOff>
      <xdr:row>0</xdr:row>
      <xdr:rowOff>942840</xdr:rowOff>
    </xdr:to>
    <xdr:sp>
      <xdr:nvSpPr>
        <xdr:cNvPr id="8" name="Shape 7"/>
        <xdr:cNvSpPr/>
      </xdr:nvSpPr>
      <xdr:spPr>
        <a:xfrm>
          <a:off x="4701960" y="428760"/>
          <a:ext cx="1228320" cy="51408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anchor="t">
          <a:noAutofit/>
        </a:bodyPr>
        <a:p>
          <a:pPr marL="14760">
            <a:lnSpc>
              <a:spcPct val="106000"/>
            </a:lnSpc>
            <a:tabLst>
              <a:tab algn="l" pos="0"/>
            </a:tabLst>
          </a:pPr>
          <a:r>
            <a:rPr b="0" lang="en-US" sz="750" spc="-1" strike="noStrike">
              <a:latin typeface="Gill Sans"/>
              <a:ea typeface="Gill Sans"/>
            </a:rPr>
            <a:t>DIRECCIÓN GENERAL DE LA ECONOMÍA SOCIAL Y DE LA RESPONSABILIDAD SOCIAL DE LAS EMPRESAS</a:t>
          </a:r>
          <a:endParaRPr b="0" lang="es-ES" sz="750" spc="-1" strike="noStrike">
            <a:latin typeface="Times New Roman"/>
          </a:endParaRPr>
        </a:p>
      </xdr:txBody>
    </xdr:sp>
    <xdr:clientData/>
  </xdr:twoCellAnchor>
  <xdr:twoCellAnchor editAs="oneCell">
    <xdr:from>
      <xdr:col>5</xdr:col>
      <xdr:colOff>428760</xdr:colOff>
      <xdr:row>0</xdr:row>
      <xdr:rowOff>133200</xdr:rowOff>
    </xdr:from>
    <xdr:to>
      <xdr:col>6</xdr:col>
      <xdr:colOff>800280</xdr:colOff>
      <xdr:row>0</xdr:row>
      <xdr:rowOff>437760</xdr:rowOff>
    </xdr:to>
    <xdr:sp>
      <xdr:nvSpPr>
        <xdr:cNvPr id="9" name="Shape 8"/>
        <xdr:cNvSpPr/>
      </xdr:nvSpPr>
      <xdr:spPr>
        <a:xfrm>
          <a:off x="4711680" y="133200"/>
          <a:ext cx="1228320" cy="304560"/>
        </a:xfrm>
        <a:prstGeom prst="rect">
          <a:avLst/>
        </a:prstGeom>
        <a:solidFill>
          <a:srgbClr val="ffffff"/>
        </a:solidFill>
        <a:ln w="12700">
          <a:solidFill>
            <a:srgbClr val="ffffff"/>
          </a:solidFill>
          <a:miter/>
        </a:ln>
      </xdr:spPr>
      <xdr:style>
        <a:lnRef idx="0"/>
        <a:fillRef idx="0"/>
        <a:effectRef idx="0"/>
        <a:fontRef idx="minor"/>
      </xdr:style>
      <xdr:txBody>
        <a:bodyPr anchor="t">
          <a:noAutofit/>
        </a:bodyPr>
        <a:p>
          <a:pPr>
            <a:lnSpc>
              <a:spcPct val="106000"/>
            </a:lnSpc>
            <a:tabLst>
              <a:tab algn="l" pos="0"/>
            </a:tabLst>
          </a:pPr>
          <a:r>
            <a:rPr b="0" lang="en-US" sz="750" spc="-1" strike="noStrike">
              <a:latin typeface="Gill Sans"/>
              <a:ea typeface="Gill Sans"/>
            </a:rPr>
            <a:t>SECRETARÍA DE ESTADO </a:t>
          </a:r>
          <a:endParaRPr b="0" lang="es-ES" sz="750" spc="-1" strike="noStrike">
            <a:latin typeface="Times New Roman"/>
          </a:endParaRPr>
        </a:p>
        <a:p>
          <a:pPr>
            <a:lnSpc>
              <a:spcPct val="106000"/>
            </a:lnSpc>
            <a:tabLst>
              <a:tab algn="l" pos="0"/>
            </a:tabLst>
          </a:pPr>
          <a:r>
            <a:rPr b="0" lang="en-US" sz="750" spc="-1" strike="noStrike">
              <a:latin typeface="Gill Sans"/>
              <a:ea typeface="Gill Sans"/>
            </a:rPr>
            <a:t>DE ECONOMÍA SOCIAL</a:t>
          </a:r>
          <a:endParaRPr b="0" lang="es-ES" sz="750" spc="-1" strike="noStrike">
            <a:latin typeface="Times New Roman"/>
          </a:endParaRPr>
        </a:p>
      </xdr:txBody>
    </xdr:sp>
    <xdr:clientData/>
  </xdr:twoCellAnchor>
  <xdr:twoCellAnchor editAs="oneCell">
    <xdr:from>
      <xdr:col>1</xdr:col>
      <xdr:colOff>209520</xdr:colOff>
      <xdr:row>0</xdr:row>
      <xdr:rowOff>152280</xdr:rowOff>
    </xdr:from>
    <xdr:to>
      <xdr:col>2</xdr:col>
      <xdr:colOff>381240</xdr:colOff>
      <xdr:row>0</xdr:row>
      <xdr:rowOff>818640</xdr:rowOff>
    </xdr:to>
    <xdr:pic>
      <xdr:nvPicPr>
        <xdr:cNvPr id="10" name="image2.png" descr=""/>
        <xdr:cNvPicPr/>
      </xdr:nvPicPr>
      <xdr:blipFill>
        <a:blip r:embed="rId1"/>
        <a:stretch/>
      </xdr:blipFill>
      <xdr:spPr>
        <a:xfrm>
          <a:off x="1065960" y="152280"/>
          <a:ext cx="1028520" cy="6663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457200</xdr:colOff>
      <xdr:row>0</xdr:row>
      <xdr:rowOff>219240</xdr:rowOff>
    </xdr:from>
    <xdr:to>
      <xdr:col>1</xdr:col>
      <xdr:colOff>105120</xdr:colOff>
      <xdr:row>0</xdr:row>
      <xdr:rowOff>723600</xdr:rowOff>
    </xdr:to>
    <xdr:pic>
      <xdr:nvPicPr>
        <xdr:cNvPr id="11" name="image4.jpg" descr=""/>
        <xdr:cNvPicPr/>
      </xdr:nvPicPr>
      <xdr:blipFill>
        <a:blip r:embed="rId2"/>
        <a:stretch/>
      </xdr:blipFill>
      <xdr:spPr>
        <a:xfrm>
          <a:off x="457200" y="219240"/>
          <a:ext cx="504360" cy="50436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 pitchFamily="0" charset="1"/>
        <a:ea typeface="Calibri" pitchFamily="0" charset="1"/>
        <a:cs typeface="Calibri" pitchFamily="0" charset="1"/>
      </a:majorFont>
      <a:minorFont>
        <a:latin typeface="Calibri" pitchFamily="0" charset="1"/>
        <a:ea typeface="Calibri" pitchFamily="0" charset="1"/>
        <a:cs typeface="Calibri" pitchFamily="0" charset="1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122"/>
  <sheetViews>
    <sheetView showFormulas="false" showGridLines="true" showRowColHeaders="true" showZeros="true" rightToLeft="false" tabSelected="true" showOutlineSymbols="true" defaultGridColor="true" view="normal" topLeftCell="A1" colorId="64" zoomScale="41" zoomScaleNormal="41" zoomScalePageLayoutView="100" workbookViewId="0">
      <selection pane="topLeft" activeCell="L181" activeCellId="0" sqref="L181"/>
    </sheetView>
  </sheetViews>
  <sheetFormatPr defaultColWidth="14.4296875" defaultRowHeight="15" zeroHeight="false" outlineLevelRow="0" outlineLevelCol="0"/>
  <cols>
    <col collapsed="false" customWidth="true" hidden="false" outlineLevel="0" max="2" min="1" style="0" width="11.43"/>
    <col collapsed="false" customWidth="true" hidden="false" outlineLevel="0" max="3" min="3" style="0" width="44.29"/>
    <col collapsed="false" customWidth="true" hidden="false" outlineLevel="0" max="4" min="4" style="0" width="13.43"/>
    <col collapsed="false" customWidth="true" hidden="false" outlineLevel="0" max="5" min="5" style="0" width="21.43"/>
    <col collapsed="false" customWidth="true" hidden="false" outlineLevel="0" max="6" min="6" style="0" width="37"/>
    <col collapsed="false" customWidth="true" hidden="false" outlineLevel="0" max="7" min="7" style="0" width="19.43"/>
    <col collapsed="false" customWidth="true" hidden="false" outlineLevel="0" max="8" min="8" style="0" width="18.7"/>
    <col collapsed="false" customWidth="true" hidden="false" outlineLevel="0" max="9" min="9" style="0" width="12.14"/>
    <col collapsed="false" customWidth="true" hidden="false" outlineLevel="0" max="15" min="10" style="0" width="18.7"/>
    <col collapsed="false" customWidth="true" hidden="false" outlineLevel="0" max="16" min="16" style="0" width="13.43"/>
    <col collapsed="false" customWidth="true" hidden="false" outlineLevel="0" max="17" min="17" style="0" width="14.29"/>
    <col collapsed="false" customWidth="true" hidden="false" outlineLevel="0" max="18" min="18" style="0" width="11.43"/>
    <col collapsed="false" customWidth="true" hidden="false" outlineLevel="0" max="22" min="19" style="0" width="18.7"/>
    <col collapsed="false" customWidth="true" hidden="false" outlineLevel="0" max="23" min="23" style="0" width="26.43"/>
    <col collapsed="false" customWidth="true" hidden="false" outlineLevel="0" max="24" min="24" style="0" width="18.7"/>
    <col collapsed="false" customWidth="true" hidden="false" outlineLevel="0" max="26" min="25" style="0" width="11.43"/>
  </cols>
  <sheetData>
    <row r="1" customFormat="false" ht="78.75" hidden="false" customHeight="true" outlineLevel="0" collapsed="false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2"/>
      <c r="S1" s="3"/>
      <c r="T1" s="3"/>
      <c r="U1" s="3"/>
      <c r="V1" s="3"/>
      <c r="W1" s="3"/>
      <c r="X1" s="3"/>
      <c r="Y1" s="3"/>
      <c r="Z1" s="3"/>
    </row>
    <row r="2" customFormat="false" ht="15" hidden="false" customHeight="true" outlineLevel="0" collapsed="false">
      <c r="A2" s="3"/>
      <c r="B2" s="4" t="s">
        <v>0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2"/>
      <c r="S2" s="3"/>
      <c r="T2" s="3"/>
      <c r="U2" s="3"/>
      <c r="V2" s="3"/>
      <c r="W2" s="3"/>
      <c r="X2" s="3"/>
      <c r="Y2" s="3"/>
      <c r="Z2" s="3"/>
    </row>
    <row r="3" customFormat="false" ht="21.75" hidden="false" customHeight="true" outlineLevel="0" collapsed="false">
      <c r="A3" s="3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2"/>
      <c r="S3" s="3"/>
      <c r="T3" s="3"/>
      <c r="U3" s="3"/>
      <c r="V3" s="3"/>
      <c r="W3" s="3"/>
      <c r="X3" s="3"/>
      <c r="Y3" s="3"/>
      <c r="Z3" s="3"/>
    </row>
    <row r="4" customFormat="false" ht="15" hidden="false" customHeight="false" outlineLevel="0" collapsed="false">
      <c r="A4" s="3"/>
      <c r="B4" s="5"/>
      <c r="C4" s="6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7"/>
      <c r="R4" s="2"/>
      <c r="S4" s="3"/>
      <c r="T4" s="3"/>
      <c r="U4" s="3"/>
      <c r="V4" s="3"/>
      <c r="W4" s="3"/>
      <c r="X4" s="3"/>
      <c r="Y4" s="3"/>
      <c r="Z4" s="3"/>
    </row>
    <row r="5" customFormat="false" ht="15" hidden="false" customHeight="false" outlineLevel="0" collapsed="false">
      <c r="A5" s="3"/>
      <c r="B5" s="8" t="s">
        <v>1</v>
      </c>
      <c r="C5" s="8"/>
      <c r="D5" s="9" t="s">
        <v>2</v>
      </c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10"/>
      <c r="R5" s="2"/>
      <c r="S5" s="3"/>
      <c r="T5" s="3"/>
      <c r="U5" s="3"/>
      <c r="V5" s="3"/>
      <c r="W5" s="3"/>
      <c r="X5" s="3"/>
      <c r="Y5" s="3"/>
      <c r="Z5" s="3"/>
    </row>
    <row r="6" customFormat="false" ht="15" hidden="false" customHeight="false" outlineLevel="0" collapsed="false">
      <c r="A6" s="3"/>
      <c r="B6" s="8"/>
      <c r="C6" s="6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7"/>
      <c r="R6" s="2"/>
      <c r="S6" s="3"/>
      <c r="T6" s="3"/>
      <c r="U6" s="3"/>
      <c r="V6" s="3"/>
      <c r="W6" s="3"/>
      <c r="X6" s="3"/>
      <c r="Y6" s="3"/>
      <c r="Z6" s="3"/>
    </row>
    <row r="7" customFormat="false" ht="15" hidden="false" customHeight="false" outlineLevel="0" collapsed="false">
      <c r="A7" s="3"/>
      <c r="B7" s="8" t="s">
        <v>3</v>
      </c>
      <c r="C7" s="8"/>
      <c r="D7" s="9" t="s">
        <v>4</v>
      </c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7"/>
      <c r="R7" s="2"/>
      <c r="S7" s="3"/>
      <c r="T7" s="3"/>
      <c r="U7" s="3"/>
      <c r="V7" s="3"/>
      <c r="W7" s="3"/>
      <c r="X7" s="3"/>
      <c r="Y7" s="3"/>
      <c r="Z7" s="3"/>
    </row>
    <row r="8" customFormat="false" ht="15" hidden="false" customHeight="false" outlineLevel="0" collapsed="false">
      <c r="A8" s="3"/>
      <c r="B8" s="8"/>
      <c r="C8" s="6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7"/>
      <c r="R8" s="2"/>
      <c r="S8" s="3"/>
      <c r="T8" s="3"/>
      <c r="U8" s="3"/>
      <c r="V8" s="3"/>
      <c r="W8" s="3"/>
      <c r="X8" s="3"/>
      <c r="Y8" s="3"/>
      <c r="Z8" s="3"/>
    </row>
    <row r="9" customFormat="false" ht="15" hidden="false" customHeight="false" outlineLevel="0" collapsed="false">
      <c r="A9" s="3"/>
      <c r="B9" s="8" t="s">
        <v>5</v>
      </c>
      <c r="C9" s="8"/>
      <c r="D9" s="9" t="s">
        <v>6</v>
      </c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7"/>
      <c r="R9" s="2"/>
      <c r="S9" s="3"/>
      <c r="T9" s="3"/>
      <c r="U9" s="3"/>
      <c r="V9" s="3"/>
      <c r="W9" s="3"/>
      <c r="X9" s="3"/>
      <c r="Y9" s="3"/>
      <c r="Z9" s="3"/>
    </row>
    <row r="10" customFormat="false" ht="15" hidden="false" customHeight="false" outlineLevel="0" collapsed="false">
      <c r="A10" s="3"/>
      <c r="B10" s="11"/>
      <c r="C10" s="12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7"/>
      <c r="R10" s="2"/>
      <c r="S10" s="3"/>
      <c r="T10" s="3"/>
      <c r="U10" s="3"/>
      <c r="V10" s="3"/>
      <c r="W10" s="3"/>
      <c r="X10" s="3"/>
      <c r="Y10" s="3"/>
      <c r="Z10" s="3"/>
    </row>
    <row r="11" customFormat="false" ht="15" hidden="false" customHeight="true" outlineLevel="0" collapsed="false">
      <c r="A11" s="3"/>
      <c r="B11" s="11" t="s">
        <v>7</v>
      </c>
      <c r="C11" s="11"/>
      <c r="D11" s="13" t="s">
        <v>8</v>
      </c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7"/>
      <c r="R11" s="2"/>
      <c r="S11" s="3"/>
      <c r="T11" s="3"/>
      <c r="U11" s="3"/>
      <c r="V11" s="3"/>
      <c r="W11" s="3"/>
      <c r="X11" s="3"/>
      <c r="Y11" s="3"/>
      <c r="Z11" s="3"/>
    </row>
    <row r="12" customFormat="false" ht="15" hidden="false" customHeight="false" outlineLevel="0" collapsed="false">
      <c r="A12" s="3"/>
      <c r="B12" s="11"/>
      <c r="C12" s="12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7"/>
      <c r="R12" s="2"/>
      <c r="S12" s="3"/>
      <c r="T12" s="3"/>
      <c r="U12" s="3"/>
      <c r="V12" s="3"/>
      <c r="W12" s="3"/>
      <c r="X12" s="3"/>
      <c r="Y12" s="3"/>
      <c r="Z12" s="3"/>
    </row>
    <row r="13" customFormat="false" ht="30" hidden="false" customHeight="true" outlineLevel="0" collapsed="false">
      <c r="A13" s="3"/>
      <c r="B13" s="11" t="s">
        <v>9</v>
      </c>
      <c r="C13" s="11"/>
      <c r="D13" s="14" t="n">
        <f aca="false">U37</f>
        <v>62413.3076215</v>
      </c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7"/>
      <c r="R13" s="2"/>
      <c r="S13" s="3"/>
      <c r="T13" s="3"/>
      <c r="U13" s="3"/>
      <c r="V13" s="3"/>
      <c r="W13" s="3"/>
      <c r="X13" s="3"/>
      <c r="Y13" s="3"/>
      <c r="Z13" s="3"/>
    </row>
    <row r="14" customFormat="false" ht="15" hidden="false" customHeight="false" outlineLevel="0" collapsed="false">
      <c r="A14" s="3"/>
      <c r="B14" s="11"/>
      <c r="C14" s="12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7"/>
      <c r="R14" s="2"/>
      <c r="S14" s="3"/>
      <c r="T14" s="3"/>
      <c r="U14" s="3"/>
      <c r="V14" s="3"/>
      <c r="W14" s="3"/>
      <c r="X14" s="3"/>
      <c r="Y14" s="3"/>
      <c r="Z14" s="3"/>
    </row>
    <row r="15" customFormat="false" ht="15" hidden="false" customHeight="true" outlineLevel="0" collapsed="false">
      <c r="A15" s="3"/>
      <c r="B15" s="11" t="s">
        <v>10</v>
      </c>
      <c r="C15" s="11"/>
      <c r="D15" s="14" t="n">
        <f aca="false">V37</f>
        <v>29999.9695215</v>
      </c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7"/>
      <c r="R15" s="2"/>
      <c r="S15" s="3"/>
      <c r="T15" s="3"/>
      <c r="U15" s="3"/>
      <c r="V15" s="3"/>
      <c r="W15" s="3"/>
      <c r="X15" s="3"/>
      <c r="Y15" s="3"/>
      <c r="Z15" s="3"/>
    </row>
    <row r="16" customFormat="false" ht="15" hidden="false" customHeight="false" outlineLevel="0" collapsed="false">
      <c r="A16" s="3"/>
      <c r="B16" s="11"/>
      <c r="C16" s="12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7"/>
      <c r="R16" s="2"/>
      <c r="S16" s="3"/>
      <c r="T16" s="3"/>
      <c r="U16" s="3"/>
      <c r="V16" s="3"/>
      <c r="W16" s="3"/>
      <c r="X16" s="3"/>
      <c r="Y16" s="3"/>
      <c r="Z16" s="3"/>
    </row>
    <row r="17" customFormat="false" ht="15" hidden="false" customHeight="true" outlineLevel="0" collapsed="false">
      <c r="A17" s="3"/>
      <c r="B17" s="11" t="s">
        <v>11</v>
      </c>
      <c r="C17" s="11"/>
      <c r="D17" s="14" t="n">
        <f aca="false">D13</f>
        <v>62413.3076215</v>
      </c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7"/>
      <c r="R17" s="2"/>
      <c r="S17" s="3"/>
      <c r="T17" s="3"/>
      <c r="U17" s="3"/>
      <c r="V17" s="3"/>
      <c r="W17" s="3"/>
      <c r="X17" s="3"/>
      <c r="Y17" s="3"/>
      <c r="Z17" s="3"/>
    </row>
    <row r="18" customFormat="false" ht="15" hidden="false" customHeight="false" outlineLevel="0" collapsed="false">
      <c r="A18" s="3"/>
      <c r="B18" s="11"/>
      <c r="C18" s="16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7"/>
      <c r="R18" s="2"/>
      <c r="S18" s="3"/>
      <c r="T18" s="3"/>
      <c r="U18" s="3"/>
      <c r="V18" s="3"/>
      <c r="W18" s="3"/>
      <c r="X18" s="3"/>
      <c r="Y18" s="3"/>
      <c r="Z18" s="3"/>
    </row>
    <row r="19" customFormat="false" ht="28.5" hidden="false" customHeight="true" outlineLevel="0" collapsed="false">
      <c r="A19" s="3"/>
      <c r="B19" s="11" t="s">
        <v>12</v>
      </c>
      <c r="C19" s="11"/>
      <c r="D19" s="14" t="n">
        <f aca="false">D15</f>
        <v>29999.9695215</v>
      </c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7"/>
      <c r="R19" s="2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false" outlineLevel="0" collapsed="false">
      <c r="A20" s="3"/>
      <c r="B20" s="17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7"/>
      <c r="R20" s="2"/>
      <c r="S20" s="3"/>
      <c r="T20" s="3"/>
      <c r="U20" s="3"/>
      <c r="V20" s="3"/>
      <c r="W20" s="3"/>
      <c r="X20" s="3"/>
      <c r="Y20" s="3"/>
      <c r="Z20" s="3"/>
    </row>
    <row r="21" customFormat="false" ht="180" hidden="false" customHeight="true" outlineLevel="0" collapsed="false">
      <c r="A21" s="18"/>
      <c r="B21" s="19"/>
      <c r="C21" s="18"/>
      <c r="D21" s="20" t="s">
        <v>13</v>
      </c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1"/>
      <c r="R21" s="22"/>
      <c r="S21" s="20" t="s">
        <v>14</v>
      </c>
      <c r="T21" s="20"/>
      <c r="U21" s="20"/>
      <c r="V21" s="20"/>
      <c r="W21" s="20"/>
      <c r="X21" s="20"/>
      <c r="Y21" s="18"/>
      <c r="Z21" s="18"/>
    </row>
    <row r="22" customFormat="false" ht="15.75" hidden="false" customHeight="true" outlineLevel="0" collapsed="false">
      <c r="A22" s="3"/>
      <c r="B22" s="23"/>
      <c r="C22" s="3"/>
      <c r="D22" s="3"/>
      <c r="E22" s="3"/>
      <c r="F22" s="3"/>
      <c r="G22" s="3"/>
      <c r="H22" s="3"/>
      <c r="I22" s="3"/>
      <c r="J22" s="3" t="s">
        <v>15</v>
      </c>
      <c r="K22" s="3"/>
      <c r="L22" s="3"/>
      <c r="M22" s="3"/>
      <c r="N22" s="3"/>
      <c r="O22" s="3"/>
      <c r="P22" s="3"/>
      <c r="Q22" s="7"/>
      <c r="R22" s="2"/>
      <c r="S22" s="3"/>
      <c r="T22" s="3"/>
      <c r="U22" s="3"/>
      <c r="V22" s="3"/>
      <c r="W22" s="3"/>
      <c r="X22" s="3"/>
      <c r="Y22" s="3"/>
      <c r="Z22" s="3"/>
    </row>
    <row r="23" customFormat="false" ht="60" hidden="false" customHeight="true" outlineLevel="0" collapsed="false">
      <c r="A23" s="3"/>
      <c r="B23" s="24" t="s">
        <v>16</v>
      </c>
      <c r="C23" s="24" t="s">
        <v>17</v>
      </c>
      <c r="D23" s="24" t="s">
        <v>18</v>
      </c>
      <c r="E23" s="24" t="s">
        <v>19</v>
      </c>
      <c r="F23" s="24" t="s">
        <v>20</v>
      </c>
      <c r="G23" s="24" t="s">
        <v>21</v>
      </c>
      <c r="H23" s="24" t="s">
        <v>22</v>
      </c>
      <c r="I23" s="24" t="s">
        <v>23</v>
      </c>
      <c r="J23" s="24" t="s">
        <v>24</v>
      </c>
      <c r="K23" s="24" t="s">
        <v>25</v>
      </c>
      <c r="L23" s="24" t="s">
        <v>26</v>
      </c>
      <c r="M23" s="24" t="s">
        <v>27</v>
      </c>
      <c r="N23" s="24" t="s">
        <v>28</v>
      </c>
      <c r="O23" s="24" t="s">
        <v>29</v>
      </c>
      <c r="P23" s="24" t="s">
        <v>30</v>
      </c>
      <c r="Q23" s="24" t="s">
        <v>31</v>
      </c>
      <c r="R23" s="2"/>
      <c r="S23" s="25" t="s">
        <v>32</v>
      </c>
      <c r="T23" s="25"/>
      <c r="U23" s="25"/>
      <c r="V23" s="25"/>
      <c r="W23" s="25"/>
      <c r="X23" s="25"/>
      <c r="Y23" s="3"/>
      <c r="Z23" s="3"/>
    </row>
    <row r="24" customFormat="false" ht="44.25" hidden="false" customHeight="true" outlineLevel="0" collapsed="false">
      <c r="A24" s="3"/>
      <c r="B24" s="26" t="n">
        <v>1</v>
      </c>
      <c r="C24" s="27" t="s">
        <v>33</v>
      </c>
      <c r="D24" s="27" t="s">
        <v>34</v>
      </c>
      <c r="E24" s="28" t="s">
        <v>35</v>
      </c>
      <c r="F24" s="27" t="s">
        <v>36</v>
      </c>
      <c r="G24" s="29" t="s">
        <v>37</v>
      </c>
      <c r="H24" s="30" t="n">
        <v>1902.12</v>
      </c>
      <c r="I24" s="31"/>
      <c r="J24" s="32"/>
      <c r="K24" s="33" t="s">
        <v>38</v>
      </c>
      <c r="L24" s="34" t="n">
        <f aca="false">H24*K24</f>
        <v>380.424</v>
      </c>
      <c r="M24" s="35" t="n">
        <f aca="false">L24-O24</f>
        <v>190.214</v>
      </c>
      <c r="N24" s="36"/>
      <c r="O24" s="36" t="n">
        <v>190.21</v>
      </c>
      <c r="P24" s="37" t="n">
        <v>45688</v>
      </c>
      <c r="Q24" s="38" t="n">
        <v>45686</v>
      </c>
      <c r="R24" s="2"/>
      <c r="S24" s="39"/>
      <c r="T24" s="40"/>
      <c r="U24" s="24" t="s">
        <v>26</v>
      </c>
      <c r="V24" s="24" t="s">
        <v>27</v>
      </c>
      <c r="W24" s="24" t="s">
        <v>28</v>
      </c>
      <c r="X24" s="24" t="s">
        <v>29</v>
      </c>
      <c r="Y24" s="3"/>
      <c r="Z24" s="3"/>
    </row>
    <row r="25" customFormat="false" ht="15.75" hidden="false" customHeight="true" outlineLevel="0" collapsed="false">
      <c r="A25" s="3"/>
      <c r="B25" s="41" t="n">
        <v>2</v>
      </c>
      <c r="C25" s="27" t="s">
        <v>33</v>
      </c>
      <c r="D25" s="27" t="s">
        <v>34</v>
      </c>
      <c r="E25" s="28" t="s">
        <v>39</v>
      </c>
      <c r="F25" s="27" t="s">
        <v>40</v>
      </c>
      <c r="G25" s="42" t="s">
        <v>37</v>
      </c>
      <c r="H25" s="30" t="n">
        <v>1902.12</v>
      </c>
      <c r="I25" s="42"/>
      <c r="J25" s="43"/>
      <c r="K25" s="44" t="s">
        <v>38</v>
      </c>
      <c r="L25" s="30" t="n">
        <f aca="false">H25*K25</f>
        <v>380.424</v>
      </c>
      <c r="M25" s="45" t="n">
        <f aca="false">L25-O25</f>
        <v>190.214</v>
      </c>
      <c r="N25" s="46"/>
      <c r="O25" s="46" t="n">
        <v>190.21</v>
      </c>
      <c r="P25" s="47" t="n">
        <v>45716</v>
      </c>
      <c r="Q25" s="48" t="n">
        <v>45715</v>
      </c>
      <c r="R25" s="49" t="n">
        <v>45291</v>
      </c>
      <c r="S25" s="50" t="s">
        <v>37</v>
      </c>
      <c r="T25" s="50"/>
      <c r="U25" s="51" t="n">
        <f aca="false">SUMIFS(L$24:L$1122,$G$24:$G$1122,$S25,$F$24:$F$1122,"*")</f>
        <v>25636.1450999</v>
      </c>
      <c r="V25" s="51" t="n">
        <f aca="false">SUMIFS(M$24:M$1122,$G$24:$G$1122,$S25,$F$24:$F$1122,"*")</f>
        <v>12818.2129999</v>
      </c>
      <c r="W25" s="51" t="n">
        <f aca="false">SUMIFS(N$24:N$1122,$G$24:$G$1122,$S25,$F$24:$F$1122,"*")</f>
        <v>0</v>
      </c>
      <c r="X25" s="51" t="n">
        <f aca="false">SUMIFS(O$24:O$1122,$G$24:$G$1122,$S25,$F$24:$F$1122,"*")</f>
        <v>12817.9321</v>
      </c>
      <c r="Y25" s="3"/>
      <c r="Z25" s="3"/>
    </row>
    <row r="26" customFormat="false" ht="12.75" hidden="false" customHeight="true" outlineLevel="0" collapsed="false">
      <c r="A26" s="3"/>
      <c r="B26" s="41" t="n">
        <v>3</v>
      </c>
      <c r="C26" s="27" t="s">
        <v>33</v>
      </c>
      <c r="D26" s="27" t="s">
        <v>34</v>
      </c>
      <c r="E26" s="28" t="s">
        <v>41</v>
      </c>
      <c r="F26" s="27" t="s">
        <v>42</v>
      </c>
      <c r="G26" s="42" t="s">
        <v>37</v>
      </c>
      <c r="H26" s="30" t="n">
        <v>1902.12</v>
      </c>
      <c r="I26" s="42"/>
      <c r="J26" s="43"/>
      <c r="K26" s="44" t="s">
        <v>38</v>
      </c>
      <c r="L26" s="30" t="n">
        <f aca="false">H26*K26</f>
        <v>380.424</v>
      </c>
      <c r="M26" s="45" t="n">
        <f aca="false">L26-O26</f>
        <v>190.214</v>
      </c>
      <c r="N26" s="46"/>
      <c r="O26" s="46" t="n">
        <v>190.21</v>
      </c>
      <c r="P26" s="47" t="n">
        <v>45747</v>
      </c>
      <c r="Q26" s="48" t="n">
        <v>45744</v>
      </c>
      <c r="R26" s="2"/>
      <c r="S26" s="50" t="s">
        <v>43</v>
      </c>
      <c r="T26" s="50"/>
      <c r="U26" s="51" t="n">
        <f aca="false">SUMIFS(L$24:L$1122,$G$24:$G$1122,$S26,$F$24:$F$1122,"*")</f>
        <v>9720.31</v>
      </c>
      <c r="V26" s="51" t="n">
        <f aca="false">SUMIFS(M$24:M$1122,$G$24:$G$1122,$S26,$F$24:$F$1122,"*")</f>
        <v>4860.155</v>
      </c>
      <c r="W26" s="51" t="n">
        <f aca="false">SUMIFS(N$24:N$1122,$G$24:$G$1122,$S26,$F$24:$F$1122,"*")</f>
        <v>0</v>
      </c>
      <c r="X26" s="51" t="n">
        <f aca="false">SUMIFS(O$24:O$1122,$G$24:$G$1122,$S26,$F$24:$F$1122,"*")</f>
        <v>4860.155</v>
      </c>
      <c r="Y26" s="3"/>
      <c r="Z26" s="3"/>
    </row>
    <row r="27" customFormat="false" ht="15.75" hidden="false" customHeight="true" outlineLevel="0" collapsed="false">
      <c r="A27" s="3"/>
      <c r="B27" s="41" t="n">
        <v>4</v>
      </c>
      <c r="C27" s="27" t="s">
        <v>33</v>
      </c>
      <c r="D27" s="27" t="s">
        <v>34</v>
      </c>
      <c r="E27" s="28" t="s">
        <v>44</v>
      </c>
      <c r="F27" s="27" t="s">
        <v>45</v>
      </c>
      <c r="G27" s="42" t="s">
        <v>37</v>
      </c>
      <c r="H27" s="30" t="n">
        <v>1902.12</v>
      </c>
      <c r="I27" s="42"/>
      <c r="J27" s="43"/>
      <c r="K27" s="44" t="s">
        <v>38</v>
      </c>
      <c r="L27" s="30" t="n">
        <f aca="false">H27*K27</f>
        <v>380.424</v>
      </c>
      <c r="M27" s="45" t="n">
        <f aca="false">L27-O27</f>
        <v>190.214</v>
      </c>
      <c r="N27" s="46"/>
      <c r="O27" s="46" t="n">
        <v>190.21</v>
      </c>
      <c r="P27" s="47" t="n">
        <v>45777</v>
      </c>
      <c r="Q27" s="48" t="n">
        <v>45777</v>
      </c>
      <c r="R27" s="2" t="str">
        <f aca="false">IF(L24=SUM(M24:O24)," ","el coste total ha de coincidir con al suma del importe imputado a la subvencion + importe imputado a otras subvenciones o ingresos + importes a cargo de la entidad")</f>
        <v> </v>
      </c>
      <c r="S27" s="50" t="s">
        <v>46</v>
      </c>
      <c r="T27" s="50"/>
      <c r="U27" s="51" t="n">
        <f aca="false">SUMIFS(L$24:L$1122,$G$24:$G$1122,$S27,$F$24:$F$1122,"*")</f>
        <v>0</v>
      </c>
      <c r="V27" s="51" t="n">
        <f aca="false">SUMIFS(M$24:M$1122,$G$24:$G$1122,$S27,$F$24:$F$1122,"*")</f>
        <v>0</v>
      </c>
      <c r="W27" s="51" t="n">
        <f aca="false">SUMIFS(N$24:N$1122,$G$24:$G$1122,$S27,$F$24:$F$1122,"*")</f>
        <v>0</v>
      </c>
      <c r="X27" s="51" t="n">
        <f aca="false">SUMIFS(O$24:O$1122,$G$24:$G$1122,$S27,$F$24:$F$1122,"*")</f>
        <v>0</v>
      </c>
      <c r="Y27" s="3"/>
      <c r="Z27" s="3"/>
    </row>
    <row r="28" customFormat="false" ht="15.75" hidden="false" customHeight="true" outlineLevel="0" collapsed="false">
      <c r="A28" s="3"/>
      <c r="B28" s="41" t="n">
        <v>5</v>
      </c>
      <c r="C28" s="27" t="s">
        <v>33</v>
      </c>
      <c r="D28" s="27" t="s">
        <v>34</v>
      </c>
      <c r="E28" s="28" t="s">
        <v>47</v>
      </c>
      <c r="F28" s="27" t="s">
        <v>48</v>
      </c>
      <c r="G28" s="42" t="s">
        <v>37</v>
      </c>
      <c r="H28" s="30" t="n">
        <v>2062.11</v>
      </c>
      <c r="I28" s="42"/>
      <c r="J28" s="43"/>
      <c r="K28" s="44" t="s">
        <v>38</v>
      </c>
      <c r="L28" s="30" t="n">
        <f aca="false">H28*K28</f>
        <v>412.422</v>
      </c>
      <c r="M28" s="45" t="n">
        <f aca="false">L28-O28</f>
        <v>206.212</v>
      </c>
      <c r="N28" s="46"/>
      <c r="O28" s="52" t="n">
        <v>206.21</v>
      </c>
      <c r="P28" s="47" t="n">
        <v>45808</v>
      </c>
      <c r="Q28" s="48" t="n">
        <v>45807</v>
      </c>
      <c r="R28" s="2" t="str">
        <f aca="false">IF(L25=SUM(M25:O25)," ","el coste total ha de coincidir con al suma del importe imputado a la subvencion + importe imputado a otras subvenciones o ingresos + importes a cargo de la entidad")</f>
        <v> </v>
      </c>
      <c r="S28" s="50" t="s">
        <v>49</v>
      </c>
      <c r="T28" s="50"/>
      <c r="U28" s="51" t="n">
        <f aca="false">SUMIFS(L$24:L$1122,$G$24:$G$1122,$S28,$F$24:$F$1122,"*")</f>
        <v>0</v>
      </c>
      <c r="V28" s="51" t="n">
        <f aca="false">SUMIFS(M$24:M$1122,$G$24:$G$1122,$S28,$F$24:$F$1122,"*")</f>
        <v>0</v>
      </c>
      <c r="W28" s="51" t="n">
        <f aca="false">SUMIFS(N$24:N$1122,$G$24:$G$1122,$S28,$F$24:$F$1122,"*")</f>
        <v>0</v>
      </c>
      <c r="X28" s="51" t="n">
        <f aca="false">SUMIFS(O$24:O$1122,$G$24:$G$1122,$S28,$F$24:$F$1122,"*")</f>
        <v>0</v>
      </c>
      <c r="Y28" s="3"/>
      <c r="Z28" s="3"/>
    </row>
    <row r="29" customFormat="false" ht="15.75" hidden="false" customHeight="true" outlineLevel="0" collapsed="false">
      <c r="A29" s="3"/>
      <c r="B29" s="41" t="n">
        <v>6</v>
      </c>
      <c r="C29" s="27" t="s">
        <v>33</v>
      </c>
      <c r="D29" s="27" t="s">
        <v>34</v>
      </c>
      <c r="E29" s="28" t="s">
        <v>50</v>
      </c>
      <c r="F29" s="27" t="s">
        <v>51</v>
      </c>
      <c r="G29" s="42" t="s">
        <v>37</v>
      </c>
      <c r="H29" s="30" t="n">
        <v>1902.12</v>
      </c>
      <c r="I29" s="42"/>
      <c r="J29" s="43"/>
      <c r="K29" s="44" t="s">
        <v>38</v>
      </c>
      <c r="L29" s="30" t="n">
        <f aca="false">H29*K29</f>
        <v>380.424</v>
      </c>
      <c r="M29" s="45" t="n">
        <f aca="false">L29-O29</f>
        <v>190.214</v>
      </c>
      <c r="N29" s="46"/>
      <c r="O29" s="46" t="n">
        <v>190.21</v>
      </c>
      <c r="P29" s="47" t="n">
        <v>45838</v>
      </c>
      <c r="Q29" s="48" t="n">
        <v>45828</v>
      </c>
      <c r="R29" s="2" t="str">
        <f aca="false">IF(L26=SUM(M26:O26)," ","el coste total ha de coincidir con al suma del importe imputado a la subvencion + importe imputado a otras subvenciones o ingresos + importes a cargo de la entidad")</f>
        <v> </v>
      </c>
      <c r="S29" s="50" t="s">
        <v>52</v>
      </c>
      <c r="T29" s="50"/>
      <c r="U29" s="51" t="n">
        <f aca="false">SUMIFS(L$24:L$1122,$G$24:$G$1122,$S29,$F$24:$F$1122,"*")</f>
        <v>20124.1185016</v>
      </c>
      <c r="V29" s="51" t="n">
        <f aca="false">SUMIFS(M$24:M$1122,$G$24:$G$1122,$S29,$F$24:$F$1122,"*")</f>
        <v>11920.6475016</v>
      </c>
      <c r="W29" s="51" t="n">
        <f aca="false">SUMIFS(N$24:N$1122,$G$24:$G$1122,$S29,$F$24:$F$1122,"*")</f>
        <v>0</v>
      </c>
      <c r="X29" s="51" t="n">
        <f aca="false">SUMIFS(O$24:O$1122,$G$24:$G$1122,$S29,$F$24:$F$1122,"*")</f>
        <v>8203.471</v>
      </c>
      <c r="Y29" s="3"/>
      <c r="Z29" s="3"/>
    </row>
    <row r="30" customFormat="false" ht="15.75" hidden="false" customHeight="true" outlineLevel="0" collapsed="false">
      <c r="A30" s="3"/>
      <c r="B30" s="41" t="n">
        <v>7</v>
      </c>
      <c r="C30" s="27" t="s">
        <v>33</v>
      </c>
      <c r="D30" s="27" t="s">
        <v>34</v>
      </c>
      <c r="E30" s="28" t="s">
        <v>53</v>
      </c>
      <c r="F30" s="27" t="s">
        <v>54</v>
      </c>
      <c r="G30" s="42" t="s">
        <v>37</v>
      </c>
      <c r="H30" s="30" t="n">
        <v>1955.45</v>
      </c>
      <c r="I30" s="42"/>
      <c r="J30" s="43"/>
      <c r="K30" s="44" t="s">
        <v>38</v>
      </c>
      <c r="L30" s="30" t="n">
        <f aca="false">H30*K30</f>
        <v>391.09</v>
      </c>
      <c r="M30" s="45" t="n">
        <f aca="false">L30-O30</f>
        <v>195.55</v>
      </c>
      <c r="N30" s="46"/>
      <c r="O30" s="52" t="n">
        <v>195.54</v>
      </c>
      <c r="P30" s="47" t="n">
        <v>45838</v>
      </c>
      <c r="Q30" s="48" t="n">
        <v>45835</v>
      </c>
      <c r="R30" s="2" t="str">
        <f aca="false">IF(L27=SUM(M27:O27)," ","el coste total ha de coincidir con al suma del importe imputado a la subvencion + importe imputado a otras subvenciones o ingresos + importes a cargo de la entidad")</f>
        <v> </v>
      </c>
      <c r="S30" s="50" t="s">
        <v>55</v>
      </c>
      <c r="T30" s="50"/>
      <c r="U30" s="51" t="n">
        <f aca="false">SUMIFS(L$24:L$1122,$G$24:$G$1122,$S30,$F$24:$F$1122,"*")</f>
        <v>166.89402</v>
      </c>
      <c r="V30" s="51" t="n">
        <f aca="false">SUMIFS(M$24:M$1122,$G$24:$G$1122,$S30,$F$24:$F$1122,"*")</f>
        <v>144.48402</v>
      </c>
      <c r="W30" s="51" t="n">
        <f aca="false">SUMIFS(N$24:N$1122,$G$24:$G$1122,$S30,$F$24:$F$1122,"*")</f>
        <v>0</v>
      </c>
      <c r="X30" s="51" t="n">
        <f aca="false">SUMIFS(O$24:O$1122,$G$24:$G$1122,$S30,$F$24:$F$1122,"*")</f>
        <v>22.41</v>
      </c>
      <c r="Y30" s="3"/>
      <c r="Z30" s="3"/>
    </row>
    <row r="31" customFormat="false" ht="15.75" hidden="false" customHeight="true" outlineLevel="0" collapsed="false">
      <c r="A31" s="3"/>
      <c r="B31" s="41" t="n">
        <v>8</v>
      </c>
      <c r="C31" s="27" t="s">
        <v>33</v>
      </c>
      <c r="D31" s="27" t="s">
        <v>34</v>
      </c>
      <c r="E31" s="28" t="s">
        <v>56</v>
      </c>
      <c r="F31" s="27" t="s">
        <v>57</v>
      </c>
      <c r="G31" s="42" t="s">
        <v>37</v>
      </c>
      <c r="H31" s="30" t="n">
        <v>1955.45</v>
      </c>
      <c r="I31" s="42"/>
      <c r="J31" s="43"/>
      <c r="K31" s="44" t="s">
        <v>38</v>
      </c>
      <c r="L31" s="30" t="n">
        <f aca="false">H31*K31</f>
        <v>391.09</v>
      </c>
      <c r="M31" s="45" t="n">
        <f aca="false">L31-O31</f>
        <v>195.55</v>
      </c>
      <c r="N31" s="46"/>
      <c r="O31" s="52" t="n">
        <v>195.54</v>
      </c>
      <c r="P31" s="47" t="n">
        <v>45869</v>
      </c>
      <c r="Q31" s="48" t="n">
        <v>45867</v>
      </c>
      <c r="R31" s="2" t="str">
        <f aca="false">IF(L28=SUM(M28:O28)," ","el coste total ha de coincidir con al suma del importe imputado a la subvencion + importe imputado a otras subvenciones o ingresos + importes a cargo de la entidad")</f>
        <v> </v>
      </c>
      <c r="S31" s="50" t="s">
        <v>58</v>
      </c>
      <c r="T31" s="50"/>
      <c r="U31" s="51" t="n">
        <f aca="false">SUMIFS(L$24:L$1122,$G$24:$G$1122,$S31,$F$24:$F$1122,"*")</f>
        <v>0</v>
      </c>
      <c r="V31" s="51" t="n">
        <f aca="false">SUMIFS(M$24:M$1122,$G$24:$G$1122,$S31,$F$24:$F$1122,"*")</f>
        <v>0</v>
      </c>
      <c r="W31" s="51" t="n">
        <f aca="false">SUMIFS(N$24:N$1122,$G$24:$G$1122,$S31,$F$24:$F$1122,"*")</f>
        <v>0</v>
      </c>
      <c r="X31" s="51" t="n">
        <f aca="false">SUMIFS(O$24:O$1122,$G$24:$G$1122,$S31,$F$24:$F$1122,"*")</f>
        <v>0</v>
      </c>
      <c r="Y31" s="3"/>
      <c r="Z31" s="3"/>
    </row>
    <row r="32" customFormat="false" ht="15.75" hidden="false" customHeight="true" outlineLevel="0" collapsed="false">
      <c r="A32" s="3"/>
      <c r="B32" s="41" t="n">
        <v>9</v>
      </c>
      <c r="C32" s="27" t="s">
        <v>33</v>
      </c>
      <c r="D32" s="27" t="s">
        <v>34</v>
      </c>
      <c r="E32" s="28" t="s">
        <v>59</v>
      </c>
      <c r="F32" s="27" t="s">
        <v>60</v>
      </c>
      <c r="G32" s="42" t="s">
        <v>37</v>
      </c>
      <c r="H32" s="30" t="n">
        <v>1955.45</v>
      </c>
      <c r="I32" s="42"/>
      <c r="J32" s="43"/>
      <c r="K32" s="44" t="s">
        <v>38</v>
      </c>
      <c r="L32" s="30" t="n">
        <f aca="false">H32*K32</f>
        <v>391.09</v>
      </c>
      <c r="M32" s="45" t="n">
        <f aca="false">L32-O32</f>
        <v>195.55</v>
      </c>
      <c r="N32" s="46"/>
      <c r="O32" s="52" t="n">
        <v>195.54</v>
      </c>
      <c r="P32" s="47" t="n">
        <v>45900</v>
      </c>
      <c r="Q32" s="48" t="n">
        <v>45898</v>
      </c>
      <c r="R32" s="2" t="str">
        <f aca="false">IF(L29=SUM(M29:O29)," ","el coste total ha de coincidir con al suma del importe imputado a la subvencion + importe imputado a otras subvenciones o ingresos + importes a cargo de la entidad")</f>
        <v> </v>
      </c>
      <c r="S32" s="50" t="s">
        <v>61</v>
      </c>
      <c r="T32" s="50"/>
      <c r="U32" s="51" t="n">
        <f aca="false">SUMIFS(L$24:L$1122,$G$24:$G$1122,$S32,$F$24:$F$1122,"*")</f>
        <v>0</v>
      </c>
      <c r="V32" s="51" t="n">
        <f aca="false">SUMIFS(M$24:M$1122,$G$24:$G$1122,$S32,$F$24:$F$1122,"*")</f>
        <v>0</v>
      </c>
      <c r="W32" s="51" t="n">
        <f aca="false">SUMIFS(N$24:N$1122,$G$24:$G$1122,$S32,$F$24:$F$1122,"*")</f>
        <v>0</v>
      </c>
      <c r="X32" s="51" t="n">
        <f aca="false">SUMIFS(O$24:O$1122,$G$24:$G$1122,$S32,$F$24:$F$1122,"*")</f>
        <v>0</v>
      </c>
      <c r="Y32" s="3"/>
      <c r="Z32" s="3"/>
    </row>
    <row r="33" customFormat="false" ht="15.75" hidden="false" customHeight="true" outlineLevel="0" collapsed="false">
      <c r="A33" s="3"/>
      <c r="B33" s="41" t="n">
        <v>10</v>
      </c>
      <c r="C33" s="27" t="s">
        <v>33</v>
      </c>
      <c r="D33" s="27" t="s">
        <v>34</v>
      </c>
      <c r="E33" s="28" t="s">
        <v>62</v>
      </c>
      <c r="F33" s="27" t="s">
        <v>63</v>
      </c>
      <c r="G33" s="42" t="s">
        <v>37</v>
      </c>
      <c r="H33" s="30" t="n">
        <v>1955.45</v>
      </c>
      <c r="I33" s="42"/>
      <c r="J33" s="43"/>
      <c r="K33" s="44" t="s">
        <v>38</v>
      </c>
      <c r="L33" s="30" t="n">
        <f aca="false">H33*K33</f>
        <v>391.09</v>
      </c>
      <c r="M33" s="45" t="n">
        <f aca="false">L33-O33</f>
        <v>195.55</v>
      </c>
      <c r="N33" s="46"/>
      <c r="O33" s="52" t="n">
        <v>195.54</v>
      </c>
      <c r="P33" s="47" t="n">
        <v>45930</v>
      </c>
      <c r="Q33" s="48" t="n">
        <v>45929</v>
      </c>
      <c r="R33" s="2" t="str">
        <f aca="false">IF(L30=SUM(M30:O30)," ","el coste total ha de coincidir con al suma del importe imputado a la subvencion + importe imputado a otras subvenciones o ingresos + importes a cargo de la entidad")</f>
        <v> </v>
      </c>
      <c r="S33" s="50" t="s">
        <v>64</v>
      </c>
      <c r="T33" s="50"/>
      <c r="U33" s="51" t="n">
        <f aca="false">SUMIFS(L$24:L$1122,$G$24:$G$1122,$S33,$F$24:$F$1122,"*")</f>
        <v>0</v>
      </c>
      <c r="V33" s="51" t="n">
        <f aca="false">SUMIFS(M$24:M$1122,$G$24:$G$1122,$S33,$F$24:$F$1122,"*")</f>
        <v>0</v>
      </c>
      <c r="W33" s="51" t="n">
        <f aca="false">SUMIFS(N$24:N$1122,$G$24:$G$1122,$S33,$F$24:$F$1122,"*")</f>
        <v>0</v>
      </c>
      <c r="X33" s="51" t="n">
        <f aca="false">SUMIFS(O$24:O$1122,$G$24:$G$1122,$S33,$F$24:$F$1122,"*")</f>
        <v>0</v>
      </c>
      <c r="Y33" s="3"/>
      <c r="Z33" s="3"/>
    </row>
    <row r="34" customFormat="false" ht="15.75" hidden="false" customHeight="true" outlineLevel="0" collapsed="false">
      <c r="A34" s="3"/>
      <c r="B34" s="41" t="n">
        <v>11</v>
      </c>
      <c r="C34" s="27" t="s">
        <v>33</v>
      </c>
      <c r="D34" s="27" t="s">
        <v>34</v>
      </c>
      <c r="E34" s="28" t="s">
        <v>65</v>
      </c>
      <c r="F34" s="27" t="s">
        <v>66</v>
      </c>
      <c r="G34" s="42" t="s">
        <v>37</v>
      </c>
      <c r="H34" s="30" t="n">
        <v>1914.23</v>
      </c>
      <c r="I34" s="42"/>
      <c r="J34" s="43"/>
      <c r="K34" s="44" t="s">
        <v>38</v>
      </c>
      <c r="L34" s="30" t="n">
        <f aca="false">H34*K34</f>
        <v>382.846</v>
      </c>
      <c r="M34" s="45" t="n">
        <f aca="false">L34-O34</f>
        <v>191.426</v>
      </c>
      <c r="N34" s="46"/>
      <c r="O34" s="46" t="n">
        <v>191.42</v>
      </c>
      <c r="P34" s="47" t="n">
        <v>45961</v>
      </c>
      <c r="Q34" s="48" t="n">
        <v>45989</v>
      </c>
      <c r="R34" s="2" t="str">
        <f aca="false">IF(L31=SUM(M31:O31)," ","el coste total ha de coincidir con al suma del importe imputado a la subvencion + importe imputado a otras subvenciones o ingresos + importes a cargo de la entidad")</f>
        <v> </v>
      </c>
      <c r="S34" s="50" t="s">
        <v>67</v>
      </c>
      <c r="T34" s="50"/>
      <c r="U34" s="51" t="n">
        <f aca="false">SUMIFS(L$24:L$1122,$G$24:$G$1122,$S34,$F$24:$F$1122,"*")</f>
        <v>0</v>
      </c>
      <c r="V34" s="51" t="n">
        <f aca="false">SUMIFS(M$24:M$1122,$G$24:$G$1122,$S34,$F$24:$F$1122,"*")</f>
        <v>0</v>
      </c>
      <c r="W34" s="51" t="n">
        <f aca="false">SUMIFS(N$24:N$1122,$G$24:$G$1122,$S34,$F$24:$F$1122,"*")</f>
        <v>0</v>
      </c>
      <c r="X34" s="51" t="n">
        <f aca="false">SUMIFS(O$24:O$1122,$G$24:$G$1122,$S34,$F$24:$F$1122,"*")</f>
        <v>0</v>
      </c>
      <c r="Y34" s="3"/>
      <c r="Z34" s="3"/>
    </row>
    <row r="35" customFormat="false" ht="15.75" hidden="false" customHeight="true" outlineLevel="0" collapsed="false">
      <c r="A35" s="3"/>
      <c r="B35" s="41" t="n">
        <v>12</v>
      </c>
      <c r="C35" s="27" t="s">
        <v>33</v>
      </c>
      <c r="D35" s="27" t="s">
        <v>34</v>
      </c>
      <c r="E35" s="28" t="s">
        <v>68</v>
      </c>
      <c r="F35" s="27" t="s">
        <v>69</v>
      </c>
      <c r="G35" s="42" t="s">
        <v>37</v>
      </c>
      <c r="H35" s="30" t="n">
        <v>2020.59</v>
      </c>
      <c r="I35" s="42"/>
      <c r="J35" s="43"/>
      <c r="K35" s="44" t="s">
        <v>38</v>
      </c>
      <c r="L35" s="30" t="n">
        <f aca="false">H35*K35</f>
        <v>404.118</v>
      </c>
      <c r="M35" s="45" t="n">
        <f aca="false">L35-O35</f>
        <v>202.058</v>
      </c>
      <c r="N35" s="46"/>
      <c r="O35" s="46" t="n">
        <v>202.06</v>
      </c>
      <c r="P35" s="47" t="n">
        <v>45991</v>
      </c>
      <c r="Q35" s="48" t="n">
        <v>45992</v>
      </c>
      <c r="R35" s="2" t="str">
        <f aca="false">IF(L32=SUM(M32:O32)," ","el coste total ha de coincidir con al suma del importe imputado a la subvencion + importe imputado a otras subvenciones o ingresos + importes a cargo de la entidad")</f>
        <v> </v>
      </c>
      <c r="S35" s="50" t="s">
        <v>70</v>
      </c>
      <c r="T35" s="50"/>
      <c r="U35" s="51" t="n">
        <f aca="false">SUMIFS(L$24:L$1122,$G$24:$G$1122,$S35,$F$24:$F$1122,"*")</f>
        <v>6765.84</v>
      </c>
      <c r="V35" s="51" t="n">
        <f aca="false">SUMIFS(M$24:M$1122,$G$24:$G$1122,$S35,$F$24:$F$1122,"*")</f>
        <v>256.47</v>
      </c>
      <c r="W35" s="51" t="n">
        <f aca="false">SUMIFS(N$24:N$1122,$G$24:$G$1122,$S35,$F$24:$F$1122,"*")</f>
        <v>0</v>
      </c>
      <c r="X35" s="51" t="n">
        <f aca="false">SUMIFS(O$24:O$1122,$G$24:$G$1122,$S35,$F$24:$F$1122,"*")</f>
        <v>6509.37</v>
      </c>
      <c r="Y35" s="3"/>
      <c r="Z35" s="3"/>
    </row>
    <row r="36" customFormat="false" ht="15.75" hidden="false" customHeight="true" outlineLevel="0" collapsed="false">
      <c r="A36" s="3"/>
      <c r="B36" s="41" t="n">
        <v>13</v>
      </c>
      <c r="C36" s="27" t="s">
        <v>33</v>
      </c>
      <c r="D36" s="27" t="s">
        <v>34</v>
      </c>
      <c r="E36" s="28" t="s">
        <v>71</v>
      </c>
      <c r="F36" s="27" t="s">
        <v>72</v>
      </c>
      <c r="G36" s="42" t="s">
        <v>37</v>
      </c>
      <c r="H36" s="30" t="n">
        <v>1891.56</v>
      </c>
      <c r="I36" s="42"/>
      <c r="J36" s="43"/>
      <c r="K36" s="44" t="s">
        <v>38</v>
      </c>
      <c r="L36" s="30" t="n">
        <f aca="false">H36*K36</f>
        <v>378.312</v>
      </c>
      <c r="M36" s="45" t="n">
        <f aca="false">L36-O36</f>
        <v>189.162</v>
      </c>
      <c r="N36" s="46"/>
      <c r="O36" s="46" t="n">
        <v>189.15</v>
      </c>
      <c r="P36" s="53" t="n">
        <v>46022</v>
      </c>
      <c r="Q36" s="48" t="n">
        <v>46010</v>
      </c>
      <c r="R36" s="2" t="str">
        <f aca="false">IF(L33=SUM(M33:O33)," ","el coste total ha de coincidir con al suma del importe imputado a la subvencion + importe imputado a otras subvenciones o ingresos + importes a cargo de la entidad")</f>
        <v> </v>
      </c>
      <c r="S36" s="3"/>
      <c r="T36" s="3"/>
      <c r="U36" s="3"/>
      <c r="V36" s="3"/>
      <c r="W36" s="3"/>
      <c r="X36" s="3"/>
      <c r="Y36" s="3"/>
      <c r="Z36" s="3"/>
    </row>
    <row r="37" customFormat="false" ht="15" hidden="false" customHeight="true" outlineLevel="0" collapsed="false">
      <c r="A37" s="3"/>
      <c r="B37" s="41" t="n">
        <v>14</v>
      </c>
      <c r="C37" s="27" t="s">
        <v>33</v>
      </c>
      <c r="D37" s="27" t="s">
        <v>34</v>
      </c>
      <c r="E37" s="28" t="s">
        <v>73</v>
      </c>
      <c r="F37" s="27" t="s">
        <v>74</v>
      </c>
      <c r="G37" s="42" t="s">
        <v>37</v>
      </c>
      <c r="H37" s="30" t="n">
        <v>1955.45</v>
      </c>
      <c r="I37" s="42"/>
      <c r="J37" s="43"/>
      <c r="K37" s="44" t="s">
        <v>38</v>
      </c>
      <c r="L37" s="30" t="n">
        <f aca="false">H37*K37</f>
        <v>391.09</v>
      </c>
      <c r="M37" s="45" t="n">
        <f aca="false">L37-O37</f>
        <v>195.55</v>
      </c>
      <c r="N37" s="46"/>
      <c r="O37" s="46" t="n">
        <v>195.54</v>
      </c>
      <c r="P37" s="53" t="n">
        <v>46022</v>
      </c>
      <c r="Q37" s="48" t="n">
        <v>46020</v>
      </c>
      <c r="R37" s="2" t="str">
        <f aca="false">IF(L34=SUM(M34:O34)," ","el coste total ha de coincidir con al suma del importe imputado a la subvencion + importe imputado a otras subvenciones o ingresos + importes a cargo de la entidad")</f>
        <v> </v>
      </c>
      <c r="S37" s="54" t="s">
        <v>75</v>
      </c>
      <c r="T37" s="54"/>
      <c r="U37" s="55" t="n">
        <f aca="false">U25+U26+U27+U28+U29+U30+U31+U32+U33+U34+U35</f>
        <v>62413.3076215</v>
      </c>
      <c r="V37" s="55" t="n">
        <f aca="false">V25+V26+V27+V28+V29+V30+V31+V32+V33+V34+V35</f>
        <v>29999.9695215</v>
      </c>
      <c r="W37" s="56" t="n">
        <f aca="false">W25+W26+W27+W28+W29+W30+W31+W32+W33+W34+W35</f>
        <v>0</v>
      </c>
      <c r="X37" s="56" t="n">
        <f aca="false">X25+X26+X27+X28+X29+X30+X31+X32+X33+X34+X35</f>
        <v>32413.3381</v>
      </c>
      <c r="Y37" s="3"/>
      <c r="Z37" s="3"/>
    </row>
    <row r="38" customFormat="false" ht="15.75" hidden="false" customHeight="true" outlineLevel="0" collapsed="false">
      <c r="A38" s="3"/>
      <c r="B38" s="41" t="n">
        <v>15</v>
      </c>
      <c r="C38" s="27" t="s">
        <v>76</v>
      </c>
      <c r="D38" s="27" t="s">
        <v>77</v>
      </c>
      <c r="E38" s="28" t="s">
        <v>78</v>
      </c>
      <c r="F38" s="27" t="s">
        <v>36</v>
      </c>
      <c r="G38" s="42" t="s">
        <v>37</v>
      </c>
      <c r="H38" s="30" t="n">
        <v>1358.5</v>
      </c>
      <c r="I38" s="42"/>
      <c r="J38" s="43"/>
      <c r="K38" s="44" t="s">
        <v>79</v>
      </c>
      <c r="L38" s="30" t="n">
        <f aca="false">H38*K38</f>
        <v>95.095</v>
      </c>
      <c r="M38" s="45" t="n">
        <f aca="false">L38-O38</f>
        <v>47.545</v>
      </c>
      <c r="N38" s="46"/>
      <c r="O38" s="46" t="n">
        <v>47.55</v>
      </c>
      <c r="P38" s="47" t="n">
        <v>45688</v>
      </c>
      <c r="Q38" s="48" t="n">
        <v>45686</v>
      </c>
      <c r="R38" s="2" t="str">
        <f aca="false">IF(L35=SUM(M35:O35)," ","el coste total ha de coincidir con al suma del importe imputado a la subvencion + importe imputado a otras subvenciones o ingresos + importes a cargo de la entidad")</f>
        <v> </v>
      </c>
      <c r="S38" s="3"/>
      <c r="T38" s="3"/>
      <c r="U38" s="3"/>
      <c r="V38" s="3"/>
      <c r="W38" s="3"/>
      <c r="X38" s="3"/>
      <c r="Y38" s="3"/>
      <c r="Z38" s="3"/>
    </row>
    <row r="39" customFormat="false" ht="15.75" hidden="false" customHeight="true" outlineLevel="0" collapsed="false">
      <c r="A39" s="3"/>
      <c r="B39" s="41" t="n">
        <v>16</v>
      </c>
      <c r="C39" s="27" t="s">
        <v>76</v>
      </c>
      <c r="D39" s="27" t="s">
        <v>77</v>
      </c>
      <c r="E39" s="28" t="s">
        <v>80</v>
      </c>
      <c r="F39" s="27" t="s">
        <v>40</v>
      </c>
      <c r="G39" s="42" t="s">
        <v>37</v>
      </c>
      <c r="H39" s="30" t="n">
        <v>489.09</v>
      </c>
      <c r="I39" s="42"/>
      <c r="J39" s="43"/>
      <c r="K39" s="44" t="n">
        <v>0.06011</v>
      </c>
      <c r="L39" s="30" t="n">
        <f aca="false">H39*K39</f>
        <v>29.3991999</v>
      </c>
      <c r="M39" s="45" t="n">
        <f aca="false">L39-O39</f>
        <v>14.7991999</v>
      </c>
      <c r="N39" s="46"/>
      <c r="O39" s="46" t="n">
        <v>14.6</v>
      </c>
      <c r="P39" s="47" t="n">
        <v>45716</v>
      </c>
      <c r="Q39" s="48" t="n">
        <v>45715</v>
      </c>
      <c r="R39" s="2"/>
      <c r="S39" s="3"/>
      <c r="T39" s="3"/>
      <c r="U39" s="3"/>
      <c r="V39" s="3"/>
      <c r="W39" s="3"/>
      <c r="X39" s="3"/>
      <c r="Y39" s="3"/>
      <c r="Z39" s="3"/>
    </row>
    <row r="40" customFormat="false" ht="15.75" hidden="false" customHeight="true" outlineLevel="0" collapsed="false">
      <c r="A40" s="3"/>
      <c r="B40" s="41" t="n">
        <v>17</v>
      </c>
      <c r="C40" s="27" t="s">
        <v>76</v>
      </c>
      <c r="D40" s="27" t="s">
        <v>77</v>
      </c>
      <c r="E40" s="28" t="s">
        <v>81</v>
      </c>
      <c r="F40" s="27" t="s">
        <v>40</v>
      </c>
      <c r="G40" s="42" t="s">
        <v>37</v>
      </c>
      <c r="H40" s="30" t="n">
        <v>1331.49</v>
      </c>
      <c r="I40" s="42"/>
      <c r="J40" s="43"/>
      <c r="K40" s="44" t="s">
        <v>79</v>
      </c>
      <c r="L40" s="30" t="n">
        <f aca="false">H40*K40</f>
        <v>93.2043</v>
      </c>
      <c r="M40" s="45" t="n">
        <f aca="false">L40-O40</f>
        <v>46.6043</v>
      </c>
      <c r="N40" s="46"/>
      <c r="O40" s="46" t="n">
        <f aca="false">93.2/2</f>
        <v>46.6</v>
      </c>
      <c r="P40" s="47" t="n">
        <v>45716</v>
      </c>
      <c r="Q40" s="48" t="n">
        <v>45715</v>
      </c>
      <c r="S40" s="3"/>
      <c r="T40" s="3"/>
      <c r="U40" s="57"/>
      <c r="V40" s="58"/>
      <c r="W40" s="3"/>
      <c r="X40" s="3"/>
      <c r="Y40" s="3"/>
      <c r="Z40" s="3"/>
    </row>
    <row r="41" customFormat="false" ht="15.75" hidden="false" customHeight="true" outlineLevel="0" collapsed="false">
      <c r="A41" s="3"/>
      <c r="B41" s="41" t="n">
        <v>18</v>
      </c>
      <c r="C41" s="27" t="s">
        <v>76</v>
      </c>
      <c r="D41" s="27" t="s">
        <v>77</v>
      </c>
      <c r="E41" s="28" t="s">
        <v>82</v>
      </c>
      <c r="F41" s="27" t="s">
        <v>42</v>
      </c>
      <c r="G41" s="42" t="s">
        <v>37</v>
      </c>
      <c r="H41" s="30" t="n">
        <v>1902.12</v>
      </c>
      <c r="I41" s="42"/>
      <c r="J41" s="43"/>
      <c r="K41" s="44" t="s">
        <v>83</v>
      </c>
      <c r="L41" s="30" t="n">
        <f aca="false">H41*K41</f>
        <v>114.1272</v>
      </c>
      <c r="M41" s="45" t="n">
        <f aca="false">L41-O41</f>
        <v>57.0622</v>
      </c>
      <c r="N41" s="46"/>
      <c r="O41" s="46" t="n">
        <f aca="false">114.13/2</f>
        <v>57.065</v>
      </c>
      <c r="P41" s="47" t="n">
        <v>45747</v>
      </c>
      <c r="Q41" s="48" t="n">
        <v>45744</v>
      </c>
      <c r="R41" s="2"/>
      <c r="S41" s="3"/>
      <c r="T41" s="3"/>
      <c r="U41" s="57"/>
      <c r="V41" s="58"/>
      <c r="W41" s="3"/>
      <c r="X41" s="3"/>
      <c r="Y41" s="3"/>
      <c r="Z41" s="3"/>
    </row>
    <row r="42" customFormat="false" ht="15.75" hidden="false" customHeight="true" outlineLevel="0" collapsed="false">
      <c r="A42" s="3"/>
      <c r="B42" s="41" t="n">
        <v>19</v>
      </c>
      <c r="C42" s="27" t="s">
        <v>76</v>
      </c>
      <c r="D42" s="27" t="s">
        <v>77</v>
      </c>
      <c r="E42" s="28" t="s">
        <v>84</v>
      </c>
      <c r="F42" s="27" t="s">
        <v>45</v>
      </c>
      <c r="G42" s="42" t="s">
        <v>37</v>
      </c>
      <c r="H42" s="30" t="n">
        <v>1902.12</v>
      </c>
      <c r="I42" s="42"/>
      <c r="J42" s="43"/>
      <c r="K42" s="44" t="s">
        <v>83</v>
      </c>
      <c r="L42" s="30" t="n">
        <f aca="false">H42*K42</f>
        <v>114.1272</v>
      </c>
      <c r="M42" s="45" t="n">
        <f aca="false">L42-O42</f>
        <v>57.0622</v>
      </c>
      <c r="N42" s="46"/>
      <c r="O42" s="46" t="n">
        <f aca="false">114.13/2</f>
        <v>57.065</v>
      </c>
      <c r="P42" s="47" t="n">
        <v>45777</v>
      </c>
      <c r="Q42" s="48" t="n">
        <v>45777</v>
      </c>
      <c r="R42" s="2"/>
      <c r="S42" s="3"/>
      <c r="T42" s="3"/>
      <c r="U42" s="57"/>
      <c r="V42" s="58"/>
      <c r="W42" s="3"/>
      <c r="X42" s="3"/>
      <c r="Y42" s="3"/>
      <c r="Z42" s="3"/>
    </row>
    <row r="43" customFormat="false" ht="15.75" hidden="false" customHeight="true" outlineLevel="0" collapsed="false">
      <c r="A43" s="3"/>
      <c r="B43" s="41" t="n">
        <v>20</v>
      </c>
      <c r="C43" s="27" t="s">
        <v>76</v>
      </c>
      <c r="D43" s="27" t="s">
        <v>77</v>
      </c>
      <c r="E43" s="28" t="s">
        <v>85</v>
      </c>
      <c r="F43" s="27" t="s">
        <v>48</v>
      </c>
      <c r="G43" s="42" t="s">
        <v>37</v>
      </c>
      <c r="H43" s="30" t="n">
        <v>1711.91</v>
      </c>
      <c r="I43" s="42"/>
      <c r="J43" s="43"/>
      <c r="K43" s="44" t="s">
        <v>83</v>
      </c>
      <c r="L43" s="30" t="n">
        <f aca="false">H43*K43</f>
        <v>102.7146</v>
      </c>
      <c r="M43" s="45" t="n">
        <f aca="false">L43-O43</f>
        <v>51.3573</v>
      </c>
      <c r="N43" s="46"/>
      <c r="O43" s="46" t="n">
        <f aca="false">L43/2</f>
        <v>51.3573</v>
      </c>
      <c r="P43" s="47" t="n">
        <v>45808</v>
      </c>
      <c r="Q43" s="48" t="n">
        <v>45807</v>
      </c>
      <c r="R43" s="2"/>
      <c r="S43" s="3"/>
      <c r="T43" s="3"/>
      <c r="U43" s="57"/>
      <c r="V43" s="58"/>
      <c r="W43" s="3"/>
      <c r="X43" s="3"/>
      <c r="Y43" s="3"/>
      <c r="Z43" s="3"/>
    </row>
    <row r="44" customFormat="false" ht="15.75" hidden="false" customHeight="true" outlineLevel="0" collapsed="false">
      <c r="A44" s="3"/>
      <c r="B44" s="41" t="n">
        <v>21</v>
      </c>
      <c r="C44" s="27" t="s">
        <v>76</v>
      </c>
      <c r="D44" s="27" t="s">
        <v>77</v>
      </c>
      <c r="E44" s="28" t="s">
        <v>86</v>
      </c>
      <c r="F44" s="27" t="s">
        <v>48</v>
      </c>
      <c r="G44" s="42" t="s">
        <v>37</v>
      </c>
      <c r="H44" s="30" t="n">
        <v>323.02</v>
      </c>
      <c r="I44" s="42"/>
      <c r="J44" s="43"/>
      <c r="K44" s="44" t="s">
        <v>83</v>
      </c>
      <c r="L44" s="30" t="n">
        <f aca="false">H44*K44</f>
        <v>19.3812</v>
      </c>
      <c r="M44" s="45" t="n">
        <f aca="false">L44-O44</f>
        <v>9.6906</v>
      </c>
      <c r="N44" s="46"/>
      <c r="O44" s="46" t="n">
        <f aca="false">L44/2</f>
        <v>9.6906</v>
      </c>
      <c r="P44" s="47" t="n">
        <v>45808</v>
      </c>
      <c r="Q44" s="48" t="n">
        <v>45806</v>
      </c>
      <c r="R44" s="2"/>
      <c r="S44" s="3"/>
      <c r="T44" s="3"/>
      <c r="U44" s="3"/>
      <c r="V44" s="58"/>
      <c r="W44" s="3"/>
      <c r="X44" s="3"/>
      <c r="Y44" s="3"/>
      <c r="Z44" s="3"/>
    </row>
    <row r="45" customFormat="false" ht="15.75" hidden="false" customHeight="true" outlineLevel="0" collapsed="false">
      <c r="A45" s="3"/>
      <c r="B45" s="41" t="n">
        <v>22</v>
      </c>
      <c r="C45" s="27" t="s">
        <v>76</v>
      </c>
      <c r="D45" s="27" t="s">
        <v>77</v>
      </c>
      <c r="E45" s="28" t="s">
        <v>87</v>
      </c>
      <c r="F45" s="27" t="s">
        <v>51</v>
      </c>
      <c r="G45" s="42" t="s">
        <v>37</v>
      </c>
      <c r="H45" s="30" t="n">
        <v>1748.12</v>
      </c>
      <c r="I45" s="42"/>
      <c r="J45" s="43"/>
      <c r="K45" s="44" t="s">
        <v>83</v>
      </c>
      <c r="L45" s="30" t="n">
        <f aca="false">H45*K45</f>
        <v>104.8872</v>
      </c>
      <c r="M45" s="45" t="n">
        <f aca="false">L45-O45</f>
        <v>52.4436</v>
      </c>
      <c r="N45" s="46"/>
      <c r="O45" s="46" t="n">
        <f aca="false">L45/2</f>
        <v>52.4436</v>
      </c>
      <c r="P45" s="47" t="n">
        <v>45828</v>
      </c>
      <c r="Q45" s="48" t="n">
        <v>45828</v>
      </c>
      <c r="R45" s="2"/>
      <c r="S45" s="3"/>
      <c r="T45" s="3"/>
      <c r="V45" s="57"/>
      <c r="W45" s="3"/>
      <c r="X45" s="3"/>
      <c r="Y45" s="3"/>
      <c r="Z45" s="3"/>
    </row>
    <row r="46" customFormat="false" ht="15.75" hidden="false" customHeight="true" outlineLevel="0" collapsed="false">
      <c r="A46" s="3"/>
      <c r="B46" s="41" t="n">
        <v>23</v>
      </c>
      <c r="C46" s="27" t="s">
        <v>76</v>
      </c>
      <c r="D46" s="27" t="s">
        <v>77</v>
      </c>
      <c r="E46" s="28" t="s">
        <v>88</v>
      </c>
      <c r="F46" s="27" t="s">
        <v>54</v>
      </c>
      <c r="G46" s="42" t="s">
        <v>37</v>
      </c>
      <c r="H46" s="30" t="n">
        <v>1951.62</v>
      </c>
      <c r="I46" s="42"/>
      <c r="J46" s="43"/>
      <c r="K46" s="44" t="s">
        <v>83</v>
      </c>
      <c r="L46" s="30" t="n">
        <f aca="false">H46*K46</f>
        <v>117.0972</v>
      </c>
      <c r="M46" s="45" t="n">
        <f aca="false">L46-O46</f>
        <v>58.5486</v>
      </c>
      <c r="N46" s="46"/>
      <c r="O46" s="46" t="n">
        <f aca="false">L46/2</f>
        <v>58.5486</v>
      </c>
      <c r="P46" s="47" t="n">
        <v>45838</v>
      </c>
      <c r="Q46" s="48" t="n">
        <v>45835</v>
      </c>
      <c r="R46" s="2"/>
      <c r="S46" s="3"/>
      <c r="T46" s="3"/>
      <c r="U46" s="3"/>
      <c r="V46" s="3"/>
      <c r="W46" s="3"/>
      <c r="X46" s="3"/>
      <c r="Y46" s="3"/>
      <c r="Z46" s="3"/>
    </row>
    <row r="47" customFormat="false" ht="15.75" hidden="false" customHeight="true" outlineLevel="0" collapsed="false">
      <c r="A47" s="3"/>
      <c r="B47" s="41" t="n">
        <v>24</v>
      </c>
      <c r="C47" s="27" t="s">
        <v>76</v>
      </c>
      <c r="D47" s="27" t="s">
        <v>77</v>
      </c>
      <c r="E47" s="28" t="s">
        <v>89</v>
      </c>
      <c r="F47" s="27" t="s">
        <v>57</v>
      </c>
      <c r="G47" s="42" t="s">
        <v>37</v>
      </c>
      <c r="H47" s="30" t="n">
        <v>1676.02</v>
      </c>
      <c r="I47" s="42"/>
      <c r="J47" s="43"/>
      <c r="K47" s="44" t="s">
        <v>83</v>
      </c>
      <c r="L47" s="30" t="n">
        <f aca="false">H47*K47</f>
        <v>100.5612</v>
      </c>
      <c r="M47" s="45" t="n">
        <f aca="false">L47-O47</f>
        <v>50.2806</v>
      </c>
      <c r="N47" s="46"/>
      <c r="O47" s="46" t="n">
        <f aca="false">L47/2</f>
        <v>50.2806</v>
      </c>
      <c r="P47" s="47" t="n">
        <v>45869</v>
      </c>
      <c r="Q47" s="48" t="n">
        <v>45867</v>
      </c>
      <c r="R47" s="2"/>
      <c r="S47" s="3"/>
      <c r="T47" s="3"/>
      <c r="U47" s="3"/>
      <c r="V47" s="3"/>
      <c r="W47" s="3"/>
      <c r="X47" s="3"/>
      <c r="Y47" s="3"/>
      <c r="Z47" s="3"/>
    </row>
    <row r="48" customFormat="false" ht="15.75" hidden="false" customHeight="true" outlineLevel="0" collapsed="false">
      <c r="A48" s="3"/>
      <c r="B48" s="41" t="n">
        <v>25</v>
      </c>
      <c r="C48" s="27" t="s">
        <v>76</v>
      </c>
      <c r="D48" s="27" t="s">
        <v>77</v>
      </c>
      <c r="E48" s="28" t="s">
        <v>90</v>
      </c>
      <c r="F48" s="27" t="s">
        <v>60</v>
      </c>
      <c r="G48" s="42" t="s">
        <v>37</v>
      </c>
      <c r="H48" s="30" t="n">
        <v>1676.02</v>
      </c>
      <c r="I48" s="42"/>
      <c r="J48" s="43"/>
      <c r="K48" s="44" t="s">
        <v>83</v>
      </c>
      <c r="L48" s="30" t="n">
        <f aca="false">H48*K48</f>
        <v>100.5612</v>
      </c>
      <c r="M48" s="45" t="n">
        <f aca="false">L48-O48</f>
        <v>50.2806</v>
      </c>
      <c r="N48" s="46"/>
      <c r="O48" s="46" t="n">
        <f aca="false">L48/2</f>
        <v>50.2806</v>
      </c>
      <c r="P48" s="47" t="n">
        <v>45900</v>
      </c>
      <c r="Q48" s="48" t="n">
        <v>45898</v>
      </c>
      <c r="R48" s="2"/>
      <c r="S48" s="3"/>
      <c r="T48" s="3"/>
      <c r="U48" s="3"/>
      <c r="V48" s="3"/>
      <c r="W48" s="3"/>
      <c r="X48" s="3"/>
      <c r="Y48" s="3"/>
      <c r="Z48" s="3"/>
    </row>
    <row r="49" customFormat="false" ht="15.75" hidden="false" customHeight="true" outlineLevel="0" collapsed="false">
      <c r="A49" s="3"/>
      <c r="B49" s="41" t="n">
        <v>26</v>
      </c>
      <c r="C49" s="27" t="s">
        <v>76</v>
      </c>
      <c r="D49" s="27" t="s">
        <v>77</v>
      </c>
      <c r="E49" s="28" t="s">
        <v>91</v>
      </c>
      <c r="F49" s="27" t="s">
        <v>63</v>
      </c>
      <c r="G49" s="42" t="s">
        <v>37</v>
      </c>
      <c r="H49" s="30" t="n">
        <v>1676.02</v>
      </c>
      <c r="I49" s="42"/>
      <c r="J49" s="43"/>
      <c r="K49" s="44" t="s">
        <v>83</v>
      </c>
      <c r="L49" s="30" t="n">
        <f aca="false">H49*K49</f>
        <v>100.5612</v>
      </c>
      <c r="M49" s="45" t="n">
        <f aca="false">L49-O49</f>
        <v>50.2806</v>
      </c>
      <c r="N49" s="46"/>
      <c r="O49" s="46" t="n">
        <f aca="false">L49/2</f>
        <v>50.2806</v>
      </c>
      <c r="P49" s="47" t="n">
        <v>45930</v>
      </c>
      <c r="Q49" s="48" t="n">
        <v>45929</v>
      </c>
      <c r="R49" s="2"/>
      <c r="S49" s="3"/>
      <c r="T49" s="3"/>
      <c r="U49" s="3"/>
      <c r="V49" s="3"/>
      <c r="W49" s="3"/>
      <c r="X49" s="3"/>
      <c r="Y49" s="3"/>
      <c r="Z49" s="3"/>
    </row>
    <row r="50" customFormat="false" ht="15.75" hidden="false" customHeight="true" outlineLevel="0" collapsed="false">
      <c r="A50" s="3"/>
      <c r="B50" s="41" t="n">
        <v>27</v>
      </c>
      <c r="C50" s="27" t="s">
        <v>76</v>
      </c>
      <c r="D50" s="27" t="s">
        <v>77</v>
      </c>
      <c r="E50" s="28" t="s">
        <v>92</v>
      </c>
      <c r="F50" s="27" t="s">
        <v>66</v>
      </c>
      <c r="G50" s="42" t="s">
        <v>37</v>
      </c>
      <c r="H50" s="30" t="n">
        <v>1620.15</v>
      </c>
      <c r="I50" s="42"/>
      <c r="J50" s="43"/>
      <c r="K50" s="44" t="s">
        <v>83</v>
      </c>
      <c r="L50" s="30" t="n">
        <f aca="false">H50*K50</f>
        <v>97.209</v>
      </c>
      <c r="M50" s="45" t="n">
        <f aca="false">L50-O50</f>
        <v>48.6045</v>
      </c>
      <c r="N50" s="46"/>
      <c r="O50" s="46" t="n">
        <f aca="false">L50/2</f>
        <v>48.6045</v>
      </c>
      <c r="P50" s="47" t="n">
        <v>45961</v>
      </c>
      <c r="Q50" s="48" t="n">
        <v>45960</v>
      </c>
      <c r="R50" s="2"/>
      <c r="S50" s="3"/>
      <c r="T50" s="3"/>
      <c r="V50" s="3"/>
      <c r="W50" s="3"/>
      <c r="X50" s="3"/>
      <c r="Y50" s="3"/>
      <c r="Z50" s="3"/>
    </row>
    <row r="51" customFormat="false" ht="15.75" hidden="false" customHeight="true" outlineLevel="0" collapsed="false">
      <c r="A51" s="3"/>
      <c r="B51" s="41" t="n">
        <v>28</v>
      </c>
      <c r="C51" s="27" t="s">
        <v>76</v>
      </c>
      <c r="D51" s="27" t="s">
        <v>77</v>
      </c>
      <c r="E51" s="28" t="s">
        <v>93</v>
      </c>
      <c r="F51" s="27" t="s">
        <v>69</v>
      </c>
      <c r="G51" s="42" t="s">
        <v>37</v>
      </c>
      <c r="H51" s="30" t="n">
        <v>1676.02</v>
      </c>
      <c r="I51" s="42"/>
      <c r="J51" s="43"/>
      <c r="K51" s="44" t="s">
        <v>83</v>
      </c>
      <c r="L51" s="30" t="n">
        <f aca="false">H51*K51</f>
        <v>100.5612</v>
      </c>
      <c r="M51" s="45" t="n">
        <f aca="false">L51-O51</f>
        <v>50.2806</v>
      </c>
      <c r="N51" s="46"/>
      <c r="O51" s="46" t="n">
        <f aca="false">L51/2</f>
        <v>50.2806</v>
      </c>
      <c r="P51" s="47" t="n">
        <v>45991</v>
      </c>
      <c r="Q51" s="48" t="n">
        <v>45992</v>
      </c>
      <c r="R51" s="2"/>
      <c r="S51" s="3"/>
      <c r="T51" s="3"/>
      <c r="U51" s="3"/>
      <c r="V51" s="3"/>
      <c r="W51" s="3"/>
      <c r="X51" s="3"/>
      <c r="Y51" s="3"/>
      <c r="Z51" s="3"/>
    </row>
    <row r="52" customFormat="false" ht="15.75" hidden="false" customHeight="true" outlineLevel="0" collapsed="false">
      <c r="A52" s="3"/>
      <c r="B52" s="41" t="n">
        <v>29</v>
      </c>
      <c r="C52" s="27" t="s">
        <v>76</v>
      </c>
      <c r="D52" s="27" t="s">
        <v>77</v>
      </c>
      <c r="E52" s="28" t="s">
        <v>94</v>
      </c>
      <c r="F52" s="27" t="s">
        <v>72</v>
      </c>
      <c r="G52" s="42" t="s">
        <v>37</v>
      </c>
      <c r="H52" s="30" t="n">
        <v>1621.25</v>
      </c>
      <c r="I52" s="42"/>
      <c r="J52" s="43"/>
      <c r="K52" s="44" t="s">
        <v>83</v>
      </c>
      <c r="L52" s="30" t="n">
        <f aca="false">H52*K52</f>
        <v>97.275</v>
      </c>
      <c r="M52" s="45" t="n">
        <f aca="false">L52-O52</f>
        <v>48.6375</v>
      </c>
      <c r="N52" s="46"/>
      <c r="O52" s="46" t="n">
        <f aca="false">L52/2</f>
        <v>48.6375</v>
      </c>
      <c r="P52" s="53" t="n">
        <v>46022</v>
      </c>
      <c r="Q52" s="48" t="n">
        <v>46010</v>
      </c>
      <c r="R52" s="2"/>
      <c r="S52" s="3"/>
      <c r="T52" s="3"/>
      <c r="U52" s="3"/>
      <c r="V52" s="3"/>
      <c r="W52" s="3"/>
      <c r="X52" s="3"/>
      <c r="Y52" s="3"/>
      <c r="Z52" s="3"/>
    </row>
    <row r="53" customFormat="false" ht="15.75" hidden="false" customHeight="true" outlineLevel="0" collapsed="false">
      <c r="A53" s="3"/>
      <c r="B53" s="41" t="n">
        <v>30</v>
      </c>
      <c r="C53" s="27" t="s">
        <v>76</v>
      </c>
      <c r="D53" s="27" t="s">
        <v>77</v>
      </c>
      <c r="E53" s="28" t="s">
        <v>95</v>
      </c>
      <c r="F53" s="27" t="s">
        <v>74</v>
      </c>
      <c r="G53" s="42" t="s">
        <v>37</v>
      </c>
      <c r="H53" s="30" t="n">
        <v>1676.02</v>
      </c>
      <c r="I53" s="42"/>
      <c r="J53" s="43"/>
      <c r="K53" s="44" t="s">
        <v>83</v>
      </c>
      <c r="L53" s="30" t="n">
        <f aca="false">H53*K53</f>
        <v>100.5612</v>
      </c>
      <c r="M53" s="45" t="n">
        <f aca="false">L53-O53</f>
        <v>50.2806</v>
      </c>
      <c r="N53" s="46"/>
      <c r="O53" s="46" t="n">
        <f aca="false">L53/2</f>
        <v>50.2806</v>
      </c>
      <c r="P53" s="53" t="n">
        <v>46022</v>
      </c>
      <c r="Q53" s="48" t="n">
        <v>46020</v>
      </c>
      <c r="R53" s="2"/>
      <c r="S53" s="3"/>
      <c r="T53" s="3"/>
      <c r="U53" s="3"/>
      <c r="V53" s="3"/>
      <c r="W53" s="3"/>
      <c r="X53" s="3"/>
      <c r="Y53" s="3"/>
      <c r="Z53" s="3"/>
    </row>
    <row r="54" customFormat="false" ht="15.75" hidden="false" customHeight="true" outlineLevel="0" collapsed="false">
      <c r="A54" s="3"/>
      <c r="B54" s="41" t="n">
        <v>31</v>
      </c>
      <c r="C54" s="27" t="s">
        <v>96</v>
      </c>
      <c r="D54" s="27" t="s">
        <v>97</v>
      </c>
      <c r="E54" s="28" t="s">
        <v>98</v>
      </c>
      <c r="F54" s="27" t="s">
        <v>36</v>
      </c>
      <c r="G54" s="42" t="s">
        <v>37</v>
      </c>
      <c r="H54" s="30" t="n">
        <v>1902.12</v>
      </c>
      <c r="I54" s="42"/>
      <c r="J54" s="43"/>
      <c r="K54" s="44" t="s">
        <v>99</v>
      </c>
      <c r="L54" s="30" t="n">
        <f aca="false">H54*K54</f>
        <v>190.212</v>
      </c>
      <c r="M54" s="45" t="n">
        <f aca="false">L54-O54</f>
        <v>95.106</v>
      </c>
      <c r="N54" s="46"/>
      <c r="O54" s="46" t="n">
        <f aca="false">L54/2</f>
        <v>95.106</v>
      </c>
      <c r="P54" s="47" t="n">
        <v>45688</v>
      </c>
      <c r="Q54" s="48" t="n">
        <v>45686</v>
      </c>
      <c r="R54" s="2"/>
      <c r="S54" s="3"/>
      <c r="T54" s="3"/>
      <c r="U54" s="3"/>
      <c r="V54" s="3"/>
      <c r="W54" s="3"/>
      <c r="X54" s="3"/>
      <c r="Y54" s="3"/>
      <c r="Z54" s="3"/>
    </row>
    <row r="55" customFormat="false" ht="15.75" hidden="false" customHeight="true" outlineLevel="0" collapsed="false">
      <c r="A55" s="3"/>
      <c r="B55" s="41" t="n">
        <v>32</v>
      </c>
      <c r="C55" s="27" t="s">
        <v>96</v>
      </c>
      <c r="D55" s="27" t="s">
        <v>97</v>
      </c>
      <c r="E55" s="28" t="s">
        <v>100</v>
      </c>
      <c r="F55" s="27" t="s">
        <v>40</v>
      </c>
      <c r="G55" s="42" t="s">
        <v>37</v>
      </c>
      <c r="H55" s="30" t="n">
        <v>760.85</v>
      </c>
      <c r="I55" s="42"/>
      <c r="J55" s="43"/>
      <c r="K55" s="44" t="s">
        <v>99</v>
      </c>
      <c r="L55" s="30" t="n">
        <f aca="false">H55*K55</f>
        <v>76.085</v>
      </c>
      <c r="M55" s="45" t="n">
        <f aca="false">L55-O55</f>
        <v>38.0425</v>
      </c>
      <c r="N55" s="46"/>
      <c r="O55" s="46" t="n">
        <f aca="false">L55/2</f>
        <v>38.0425</v>
      </c>
      <c r="P55" s="47" t="n">
        <v>45716</v>
      </c>
      <c r="Q55" s="48" t="n">
        <v>45715</v>
      </c>
      <c r="R55" s="2"/>
      <c r="S55" s="3"/>
      <c r="T55" s="3"/>
      <c r="U55" s="3"/>
      <c r="V55" s="3"/>
      <c r="W55" s="3"/>
      <c r="X55" s="3"/>
      <c r="Y55" s="3"/>
      <c r="Z55" s="3"/>
    </row>
    <row r="56" customFormat="false" ht="15.75" hidden="false" customHeight="true" outlineLevel="0" collapsed="false">
      <c r="A56" s="3"/>
      <c r="B56" s="41" t="n">
        <v>33</v>
      </c>
      <c r="C56" s="27" t="s">
        <v>96</v>
      </c>
      <c r="D56" s="27" t="s">
        <v>97</v>
      </c>
      <c r="E56" s="28" t="s">
        <v>101</v>
      </c>
      <c r="F56" s="27" t="s">
        <v>40</v>
      </c>
      <c r="G56" s="42" t="s">
        <v>37</v>
      </c>
      <c r="H56" s="30" t="n">
        <v>815.21</v>
      </c>
      <c r="I56" s="42"/>
      <c r="J56" s="43"/>
      <c r="K56" s="44" t="s">
        <v>99</v>
      </c>
      <c r="L56" s="30" t="n">
        <f aca="false">H56*K56</f>
        <v>81.521</v>
      </c>
      <c r="M56" s="45" t="n">
        <f aca="false">L56-O56</f>
        <v>40.7605</v>
      </c>
      <c r="N56" s="46"/>
      <c r="O56" s="46" t="n">
        <f aca="false">L56/2</f>
        <v>40.7605</v>
      </c>
      <c r="P56" s="47" t="n">
        <v>45716</v>
      </c>
      <c r="Q56" s="48" t="n">
        <v>45715</v>
      </c>
      <c r="R56" s="2"/>
      <c r="S56" s="3"/>
      <c r="T56" s="3"/>
      <c r="U56" s="3"/>
      <c r="V56" s="3"/>
      <c r="W56" s="3"/>
      <c r="X56" s="3"/>
      <c r="Y56" s="3"/>
      <c r="Z56" s="3"/>
    </row>
    <row r="57" customFormat="false" ht="15.75" hidden="false" customHeight="true" outlineLevel="0" collapsed="false">
      <c r="A57" s="3"/>
      <c r="B57" s="41" t="n">
        <v>34</v>
      </c>
      <c r="C57" s="27" t="s">
        <v>96</v>
      </c>
      <c r="D57" s="27" t="s">
        <v>97</v>
      </c>
      <c r="E57" s="28" t="s">
        <v>102</v>
      </c>
      <c r="F57" s="27" t="s">
        <v>42</v>
      </c>
      <c r="G57" s="42" t="s">
        <v>37</v>
      </c>
      <c r="H57" s="30" t="n">
        <v>1358.69</v>
      </c>
      <c r="I57" s="42"/>
      <c r="J57" s="43"/>
      <c r="K57" s="44" t="s">
        <v>99</v>
      </c>
      <c r="L57" s="30" t="n">
        <f aca="false">H57*K57</f>
        <v>135.869</v>
      </c>
      <c r="M57" s="45" t="n">
        <f aca="false">L57-O57</f>
        <v>67.9345</v>
      </c>
      <c r="N57" s="46"/>
      <c r="O57" s="46" t="n">
        <f aca="false">L57/2</f>
        <v>67.9345</v>
      </c>
      <c r="P57" s="47" t="n">
        <v>45747</v>
      </c>
      <c r="Q57" s="48" t="n">
        <v>45744</v>
      </c>
      <c r="R57" s="2"/>
      <c r="S57" s="3"/>
      <c r="T57" s="3"/>
      <c r="U57" s="3"/>
      <c r="V57" s="3"/>
      <c r="W57" s="3"/>
      <c r="X57" s="3"/>
      <c r="Y57" s="3"/>
      <c r="Z57" s="3"/>
    </row>
    <row r="58" customFormat="false" ht="15.75" hidden="false" customHeight="true" outlineLevel="0" collapsed="false">
      <c r="A58" s="3"/>
      <c r="B58" s="41" t="n">
        <v>35</v>
      </c>
      <c r="C58" s="27" t="s">
        <v>96</v>
      </c>
      <c r="D58" s="27" t="s">
        <v>97</v>
      </c>
      <c r="E58" s="28" t="s">
        <v>103</v>
      </c>
      <c r="F58" s="27" t="s">
        <v>45</v>
      </c>
      <c r="G58" s="42" t="s">
        <v>37</v>
      </c>
      <c r="H58" s="30" t="n">
        <v>1358.69</v>
      </c>
      <c r="I58" s="42"/>
      <c r="J58" s="43"/>
      <c r="K58" s="44" t="s">
        <v>99</v>
      </c>
      <c r="L58" s="30" t="n">
        <f aca="false">H58*K58</f>
        <v>135.869</v>
      </c>
      <c r="M58" s="45" t="n">
        <f aca="false">L58-O58</f>
        <v>67.9345</v>
      </c>
      <c r="N58" s="46"/>
      <c r="O58" s="46" t="n">
        <f aca="false">L58/2</f>
        <v>67.9345</v>
      </c>
      <c r="P58" s="47" t="n">
        <v>45777</v>
      </c>
      <c r="Q58" s="48" t="n">
        <v>45777</v>
      </c>
      <c r="R58" s="2"/>
      <c r="S58" s="3"/>
      <c r="T58" s="3"/>
      <c r="U58" s="3"/>
      <c r="V58" s="3"/>
      <c r="W58" s="3"/>
      <c r="X58" s="3"/>
      <c r="Y58" s="3"/>
      <c r="Z58" s="3"/>
    </row>
    <row r="59" customFormat="false" ht="15.75" hidden="false" customHeight="true" outlineLevel="0" collapsed="false">
      <c r="A59" s="3"/>
      <c r="B59" s="41" t="n">
        <v>36</v>
      </c>
      <c r="C59" s="27" t="s">
        <v>96</v>
      </c>
      <c r="D59" s="27" t="s">
        <v>97</v>
      </c>
      <c r="E59" s="28" t="s">
        <v>104</v>
      </c>
      <c r="F59" s="27" t="s">
        <v>48</v>
      </c>
      <c r="G59" s="42" t="s">
        <v>37</v>
      </c>
      <c r="H59" s="30" t="n">
        <v>1472.97</v>
      </c>
      <c r="I59" s="42"/>
      <c r="J59" s="43"/>
      <c r="K59" s="44" t="s">
        <v>99</v>
      </c>
      <c r="L59" s="30" t="n">
        <f aca="false">H59*K59</f>
        <v>147.297</v>
      </c>
      <c r="M59" s="45" t="n">
        <f aca="false">L59-O59</f>
        <v>73.6485</v>
      </c>
      <c r="N59" s="46"/>
      <c r="O59" s="46" t="n">
        <f aca="false">L59/2</f>
        <v>73.6485</v>
      </c>
      <c r="P59" s="47" t="n">
        <v>45808</v>
      </c>
      <c r="Q59" s="48" t="n">
        <v>45807</v>
      </c>
      <c r="R59" s="2"/>
      <c r="S59" s="3"/>
      <c r="T59" s="3"/>
      <c r="U59" s="3"/>
      <c r="V59" s="3"/>
      <c r="W59" s="3"/>
      <c r="X59" s="3"/>
      <c r="Y59" s="3"/>
      <c r="Z59" s="3"/>
    </row>
    <row r="60" customFormat="false" ht="15.75" hidden="false" customHeight="true" outlineLevel="0" collapsed="false">
      <c r="A60" s="3"/>
      <c r="B60" s="41" t="n">
        <v>37</v>
      </c>
      <c r="C60" s="27" t="s">
        <v>96</v>
      </c>
      <c r="D60" s="27" t="s">
        <v>97</v>
      </c>
      <c r="E60" s="28" t="s">
        <v>105</v>
      </c>
      <c r="F60" s="27" t="s">
        <v>51</v>
      </c>
      <c r="G60" s="42" t="s">
        <v>37</v>
      </c>
      <c r="H60" s="30" t="n">
        <v>1485.44</v>
      </c>
      <c r="I60" s="42"/>
      <c r="J60" s="43"/>
      <c r="K60" s="44" t="s">
        <v>99</v>
      </c>
      <c r="L60" s="30" t="n">
        <f aca="false">H60*K60</f>
        <v>148.544</v>
      </c>
      <c r="M60" s="45" t="n">
        <f aca="false">L60-O60</f>
        <v>74.272</v>
      </c>
      <c r="N60" s="46"/>
      <c r="O60" s="46" t="n">
        <f aca="false">L60/2</f>
        <v>74.272</v>
      </c>
      <c r="P60" s="47" t="n">
        <v>45828</v>
      </c>
      <c r="Q60" s="48" t="n">
        <v>45828</v>
      </c>
      <c r="R60" s="2"/>
      <c r="S60" s="3"/>
      <c r="T60" s="3"/>
      <c r="U60" s="3"/>
      <c r="V60" s="3"/>
      <c r="W60" s="3"/>
      <c r="X60" s="3"/>
      <c r="Y60" s="3"/>
      <c r="Z60" s="3"/>
    </row>
    <row r="61" customFormat="false" ht="15.75" hidden="false" customHeight="true" outlineLevel="0" collapsed="false">
      <c r="A61" s="3"/>
      <c r="B61" s="41" t="n">
        <v>38</v>
      </c>
      <c r="C61" s="27" t="s">
        <v>96</v>
      </c>
      <c r="D61" s="27" t="s">
        <v>97</v>
      </c>
      <c r="E61" s="28" t="s">
        <v>106</v>
      </c>
      <c r="F61" s="27" t="s">
        <v>54</v>
      </c>
      <c r="G61" s="42" t="s">
        <v>37</v>
      </c>
      <c r="H61" s="30" t="n">
        <v>1396.78</v>
      </c>
      <c r="I61" s="42"/>
      <c r="J61" s="43"/>
      <c r="K61" s="44" t="s">
        <v>99</v>
      </c>
      <c r="L61" s="30" t="n">
        <f aca="false">H61*K61</f>
        <v>139.678</v>
      </c>
      <c r="M61" s="45" t="n">
        <f aca="false">L61-O61</f>
        <v>69.839</v>
      </c>
      <c r="N61" s="46"/>
      <c r="O61" s="46" t="n">
        <f aca="false">L61/2</f>
        <v>69.839</v>
      </c>
      <c r="P61" s="47" t="n">
        <v>45838</v>
      </c>
      <c r="Q61" s="48" t="n">
        <v>45835</v>
      </c>
      <c r="R61" s="2"/>
      <c r="S61" s="3"/>
      <c r="T61" s="3"/>
      <c r="U61" s="3"/>
      <c r="V61" s="3"/>
      <c r="W61" s="3"/>
      <c r="X61" s="3"/>
      <c r="Y61" s="3"/>
      <c r="Z61" s="3"/>
    </row>
    <row r="62" customFormat="false" ht="15.75" hidden="false" customHeight="true" outlineLevel="0" collapsed="false">
      <c r="A62" s="3"/>
      <c r="B62" s="41" t="n">
        <v>39</v>
      </c>
      <c r="C62" s="27" t="s">
        <v>96</v>
      </c>
      <c r="D62" s="27" t="s">
        <v>97</v>
      </c>
      <c r="E62" s="28" t="s">
        <v>107</v>
      </c>
      <c r="F62" s="27" t="s">
        <v>57</v>
      </c>
      <c r="G62" s="42" t="s">
        <v>37</v>
      </c>
      <c r="H62" s="30" t="n">
        <v>1396.78</v>
      </c>
      <c r="I62" s="42"/>
      <c r="J62" s="43"/>
      <c r="K62" s="44" t="s">
        <v>99</v>
      </c>
      <c r="L62" s="30" t="n">
        <f aca="false">H62*K62</f>
        <v>139.678</v>
      </c>
      <c r="M62" s="45" t="n">
        <f aca="false">L62-O62</f>
        <v>69.839</v>
      </c>
      <c r="N62" s="46"/>
      <c r="O62" s="46" t="n">
        <f aca="false">L62/2</f>
        <v>69.839</v>
      </c>
      <c r="P62" s="47" t="n">
        <v>45869</v>
      </c>
      <c r="Q62" s="48" t="n">
        <v>45867</v>
      </c>
      <c r="R62" s="2"/>
      <c r="S62" s="3"/>
      <c r="T62" s="3"/>
      <c r="U62" s="3"/>
      <c r="V62" s="3"/>
      <c r="W62" s="3"/>
      <c r="X62" s="3"/>
      <c r="Y62" s="3"/>
      <c r="Z62" s="3"/>
    </row>
    <row r="63" customFormat="false" ht="15.75" hidden="false" customHeight="true" outlineLevel="0" collapsed="false">
      <c r="A63" s="3"/>
      <c r="B63" s="41" t="n">
        <v>40</v>
      </c>
      <c r="C63" s="27" t="s">
        <v>96</v>
      </c>
      <c r="D63" s="27" t="s">
        <v>97</v>
      </c>
      <c r="E63" s="28" t="s">
        <v>108</v>
      </c>
      <c r="F63" s="27" t="s">
        <v>60</v>
      </c>
      <c r="G63" s="42" t="s">
        <v>37</v>
      </c>
      <c r="H63" s="30" t="n">
        <v>1396.78</v>
      </c>
      <c r="I63" s="42"/>
      <c r="J63" s="43"/>
      <c r="K63" s="44" t="s">
        <v>99</v>
      </c>
      <c r="L63" s="30" t="n">
        <f aca="false">H63*K63</f>
        <v>139.678</v>
      </c>
      <c r="M63" s="45" t="n">
        <f aca="false">L63-O63</f>
        <v>69.839</v>
      </c>
      <c r="N63" s="46"/>
      <c r="O63" s="46" t="n">
        <f aca="false">L63/2</f>
        <v>69.839</v>
      </c>
      <c r="P63" s="47" t="n">
        <v>45900</v>
      </c>
      <c r="Q63" s="48" t="n">
        <v>45898</v>
      </c>
      <c r="R63" s="2"/>
      <c r="S63" s="3"/>
      <c r="T63" s="3"/>
      <c r="U63" s="3"/>
      <c r="V63" s="3"/>
      <c r="W63" s="3"/>
      <c r="X63" s="3"/>
      <c r="Y63" s="3"/>
      <c r="Z63" s="3"/>
    </row>
    <row r="64" customFormat="false" ht="15.75" hidden="false" customHeight="true" outlineLevel="0" collapsed="false">
      <c r="A64" s="3"/>
      <c r="B64" s="41" t="n">
        <v>41</v>
      </c>
      <c r="C64" s="27" t="s">
        <v>96</v>
      </c>
      <c r="D64" s="27" t="s">
        <v>97</v>
      </c>
      <c r="E64" s="28" t="s">
        <v>109</v>
      </c>
      <c r="F64" s="27" t="s">
        <v>63</v>
      </c>
      <c r="G64" s="42" t="s">
        <v>37</v>
      </c>
      <c r="H64" s="30" t="n">
        <v>1396.78</v>
      </c>
      <c r="I64" s="42"/>
      <c r="J64" s="43"/>
      <c r="K64" s="44" t="s">
        <v>99</v>
      </c>
      <c r="L64" s="30" t="n">
        <f aca="false">H64*K64</f>
        <v>139.678</v>
      </c>
      <c r="M64" s="45" t="n">
        <f aca="false">L64-O64</f>
        <v>69.839</v>
      </c>
      <c r="N64" s="46"/>
      <c r="O64" s="46" t="n">
        <f aca="false">L64/2</f>
        <v>69.839</v>
      </c>
      <c r="P64" s="47" t="n">
        <v>45930</v>
      </c>
      <c r="Q64" s="48" t="n">
        <v>45929</v>
      </c>
      <c r="R64" s="2"/>
      <c r="S64" s="3"/>
      <c r="T64" s="3"/>
      <c r="U64" s="3"/>
      <c r="V64" s="3"/>
      <c r="W64" s="3"/>
      <c r="X64" s="3"/>
      <c r="Y64" s="3"/>
      <c r="Z64" s="3"/>
    </row>
    <row r="65" customFormat="false" ht="15.75" hidden="false" customHeight="true" outlineLevel="0" collapsed="false">
      <c r="A65" s="3"/>
      <c r="B65" s="41" t="n">
        <v>42</v>
      </c>
      <c r="C65" s="27" t="s">
        <v>96</v>
      </c>
      <c r="D65" s="27" t="s">
        <v>97</v>
      </c>
      <c r="E65" s="28" t="s">
        <v>110</v>
      </c>
      <c r="F65" s="27" t="s">
        <v>66</v>
      </c>
      <c r="G65" s="42" t="s">
        <v>37</v>
      </c>
      <c r="H65" s="30" t="n">
        <v>1369.22</v>
      </c>
      <c r="I65" s="42"/>
      <c r="J65" s="43"/>
      <c r="K65" s="44" t="s">
        <v>99</v>
      </c>
      <c r="L65" s="30" t="n">
        <f aca="false">H65*K65</f>
        <v>136.922</v>
      </c>
      <c r="M65" s="45" t="n">
        <f aca="false">L65-O65</f>
        <v>68.461</v>
      </c>
      <c r="N65" s="46"/>
      <c r="O65" s="46" t="n">
        <f aca="false">L65/2</f>
        <v>68.461</v>
      </c>
      <c r="P65" s="47" t="n">
        <v>45961</v>
      </c>
      <c r="Q65" s="48" t="n">
        <v>45989</v>
      </c>
      <c r="R65" s="2"/>
      <c r="S65" s="3"/>
      <c r="T65" s="3"/>
      <c r="U65" s="3"/>
      <c r="V65" s="3"/>
      <c r="W65" s="3"/>
      <c r="X65" s="3"/>
      <c r="Y65" s="3"/>
      <c r="Z65" s="3"/>
    </row>
    <row r="66" customFormat="false" ht="15.75" hidden="false" customHeight="true" outlineLevel="0" collapsed="false">
      <c r="A66" s="3"/>
      <c r="B66" s="41" t="n">
        <v>43</v>
      </c>
      <c r="C66" s="27" t="s">
        <v>96</v>
      </c>
      <c r="D66" s="27" t="s">
        <v>97</v>
      </c>
      <c r="E66" s="28" t="s">
        <v>111</v>
      </c>
      <c r="F66" s="27" t="s">
        <v>72</v>
      </c>
      <c r="G66" s="42" t="s">
        <v>37</v>
      </c>
      <c r="H66" s="30" t="n">
        <v>1351.14</v>
      </c>
      <c r="I66" s="42"/>
      <c r="J66" s="43"/>
      <c r="K66" s="44" t="s">
        <v>99</v>
      </c>
      <c r="L66" s="30" t="n">
        <f aca="false">H66*K66</f>
        <v>135.114</v>
      </c>
      <c r="M66" s="45" t="n">
        <f aca="false">L66-O66</f>
        <v>67.557</v>
      </c>
      <c r="N66" s="46"/>
      <c r="O66" s="46" t="n">
        <f aca="false">L66/2</f>
        <v>67.557</v>
      </c>
      <c r="P66" s="53" t="n">
        <v>46022</v>
      </c>
      <c r="Q66" s="48" t="n">
        <v>46010</v>
      </c>
      <c r="R66" s="2"/>
      <c r="S66" s="3"/>
      <c r="T66" s="3"/>
      <c r="U66" s="3"/>
      <c r="V66" s="3"/>
      <c r="W66" s="3"/>
      <c r="X66" s="3"/>
      <c r="Y66" s="3"/>
      <c r="Z66" s="3"/>
    </row>
    <row r="67" customFormat="false" ht="15.75" hidden="false" customHeight="true" outlineLevel="0" collapsed="false">
      <c r="A67" s="3"/>
      <c r="B67" s="41" t="n">
        <v>44</v>
      </c>
      <c r="C67" s="27" t="s">
        <v>112</v>
      </c>
      <c r="D67" s="27" t="s">
        <v>113</v>
      </c>
      <c r="E67" s="28" t="s">
        <v>114</v>
      </c>
      <c r="F67" s="27" t="s">
        <v>36</v>
      </c>
      <c r="G67" s="42" t="s">
        <v>37</v>
      </c>
      <c r="H67" s="30" t="n">
        <v>1086.11</v>
      </c>
      <c r="I67" s="42"/>
      <c r="J67" s="43"/>
      <c r="K67" s="44" t="s">
        <v>115</v>
      </c>
      <c r="L67" s="30" t="n">
        <f aca="false">H67*K67</f>
        <v>543.055</v>
      </c>
      <c r="M67" s="45" t="n">
        <f aca="false">L67-O67</f>
        <v>271.5275</v>
      </c>
      <c r="N67" s="46"/>
      <c r="O67" s="46" t="n">
        <f aca="false">L67/2</f>
        <v>271.5275</v>
      </c>
      <c r="P67" s="47" t="n">
        <v>45688</v>
      </c>
      <c r="Q67" s="48" t="n">
        <v>45686</v>
      </c>
      <c r="R67" s="2"/>
      <c r="S67" s="3"/>
      <c r="T67" s="3"/>
      <c r="U67" s="3"/>
      <c r="V67" s="3"/>
      <c r="W67" s="3"/>
      <c r="X67" s="3"/>
      <c r="Y67" s="3"/>
      <c r="Z67" s="3"/>
    </row>
    <row r="68" customFormat="false" ht="15.75" hidden="false" customHeight="true" outlineLevel="0" collapsed="false">
      <c r="A68" s="3"/>
      <c r="B68" s="41" t="n">
        <v>45</v>
      </c>
      <c r="C68" s="27" t="s">
        <v>112</v>
      </c>
      <c r="D68" s="27" t="s">
        <v>113</v>
      </c>
      <c r="E68" s="28" t="s">
        <v>116</v>
      </c>
      <c r="F68" s="27" t="s">
        <v>40</v>
      </c>
      <c r="G68" s="42" t="s">
        <v>37</v>
      </c>
      <c r="H68" s="30" t="n">
        <v>325.83</v>
      </c>
      <c r="I68" s="42"/>
      <c r="J68" s="43"/>
      <c r="K68" s="44" t="s">
        <v>117</v>
      </c>
      <c r="L68" s="30" t="n">
        <f aca="false">H68*K68</f>
        <v>97.749</v>
      </c>
      <c r="M68" s="45" t="n">
        <f aca="false">L68-O68</f>
        <v>48.8745</v>
      </c>
      <c r="N68" s="46"/>
      <c r="O68" s="46" t="n">
        <f aca="false">L68/2</f>
        <v>48.8745</v>
      </c>
      <c r="P68" s="47" t="n">
        <v>45716</v>
      </c>
      <c r="Q68" s="48" t="n">
        <v>45715</v>
      </c>
      <c r="R68" s="2"/>
      <c r="S68" s="3"/>
      <c r="T68" s="3"/>
      <c r="U68" s="3"/>
      <c r="V68" s="3"/>
      <c r="W68" s="3"/>
      <c r="X68" s="3"/>
      <c r="Y68" s="3"/>
      <c r="Z68" s="3"/>
    </row>
    <row r="69" customFormat="false" ht="15.75" hidden="false" customHeight="true" outlineLevel="0" collapsed="false">
      <c r="A69" s="3"/>
      <c r="B69" s="41" t="n">
        <v>46</v>
      </c>
      <c r="C69" s="27" t="s">
        <v>112</v>
      </c>
      <c r="D69" s="27" t="s">
        <v>113</v>
      </c>
      <c r="E69" s="28" t="s">
        <v>118</v>
      </c>
      <c r="F69" s="27" t="s">
        <v>40</v>
      </c>
      <c r="G69" s="42" t="s">
        <v>37</v>
      </c>
      <c r="H69" s="30" t="n">
        <v>1331.49</v>
      </c>
      <c r="I69" s="42"/>
      <c r="J69" s="43"/>
      <c r="K69" s="44" t="s">
        <v>117</v>
      </c>
      <c r="L69" s="30" t="n">
        <f aca="false">H69*K69</f>
        <v>399.447</v>
      </c>
      <c r="M69" s="45" t="n">
        <f aca="false">L69-O69</f>
        <v>199.7235</v>
      </c>
      <c r="N69" s="46"/>
      <c r="O69" s="46" t="n">
        <f aca="false">L69/2</f>
        <v>199.7235</v>
      </c>
      <c r="P69" s="47" t="n">
        <v>45716</v>
      </c>
      <c r="Q69" s="48" t="n">
        <v>45715</v>
      </c>
      <c r="R69" s="2"/>
      <c r="S69" s="3"/>
      <c r="T69" s="3"/>
      <c r="U69" s="3"/>
      <c r="V69" s="3"/>
      <c r="W69" s="3"/>
      <c r="X69" s="3"/>
      <c r="Y69" s="3"/>
      <c r="Z69" s="3"/>
    </row>
    <row r="70" customFormat="false" ht="15.75" hidden="false" customHeight="true" outlineLevel="0" collapsed="false">
      <c r="A70" s="3"/>
      <c r="B70" s="41" t="n">
        <v>47</v>
      </c>
      <c r="C70" s="27" t="s">
        <v>112</v>
      </c>
      <c r="D70" s="27" t="s">
        <v>113</v>
      </c>
      <c r="E70" s="28" t="s">
        <v>119</v>
      </c>
      <c r="F70" s="27" t="s">
        <v>42</v>
      </c>
      <c r="G70" s="42" t="s">
        <v>37</v>
      </c>
      <c r="H70" s="30" t="n">
        <v>1902.12</v>
      </c>
      <c r="I70" s="42"/>
      <c r="J70" s="43"/>
      <c r="K70" s="44" t="s">
        <v>117</v>
      </c>
      <c r="L70" s="30" t="n">
        <f aca="false">H70*K70</f>
        <v>570.636</v>
      </c>
      <c r="M70" s="45" t="n">
        <f aca="false">L70-O70</f>
        <v>285.318</v>
      </c>
      <c r="N70" s="46"/>
      <c r="O70" s="46" t="n">
        <f aca="false">L70/2</f>
        <v>285.318</v>
      </c>
      <c r="P70" s="47" t="n">
        <v>45747</v>
      </c>
      <c r="Q70" s="48" t="n">
        <v>45744</v>
      </c>
      <c r="R70" s="2"/>
      <c r="S70" s="3"/>
      <c r="T70" s="3"/>
      <c r="U70" s="3"/>
      <c r="V70" s="3"/>
      <c r="W70" s="3"/>
      <c r="X70" s="3"/>
      <c r="Y70" s="3"/>
      <c r="Z70" s="3"/>
    </row>
    <row r="71" customFormat="false" ht="15.75" hidden="false" customHeight="true" outlineLevel="0" collapsed="false">
      <c r="A71" s="3"/>
      <c r="B71" s="41" t="n">
        <v>48</v>
      </c>
      <c r="C71" s="27" t="s">
        <v>112</v>
      </c>
      <c r="D71" s="27" t="s">
        <v>113</v>
      </c>
      <c r="E71" s="28" t="s">
        <v>120</v>
      </c>
      <c r="F71" s="27" t="s">
        <v>45</v>
      </c>
      <c r="G71" s="42" t="s">
        <v>37</v>
      </c>
      <c r="H71" s="30" t="n">
        <v>1902.12</v>
      </c>
      <c r="I71" s="42"/>
      <c r="J71" s="43"/>
      <c r="K71" s="44" t="s">
        <v>117</v>
      </c>
      <c r="L71" s="30" t="n">
        <f aca="false">H71*K71</f>
        <v>570.636</v>
      </c>
      <c r="M71" s="45" t="n">
        <f aca="false">L71-O71</f>
        <v>285.318</v>
      </c>
      <c r="N71" s="46"/>
      <c r="O71" s="46" t="n">
        <f aca="false">L71/2</f>
        <v>285.318</v>
      </c>
      <c r="P71" s="47" t="n">
        <v>45777</v>
      </c>
      <c r="Q71" s="48" t="n">
        <v>45777</v>
      </c>
      <c r="R71" s="2"/>
      <c r="S71" s="3"/>
      <c r="T71" s="3"/>
      <c r="U71" s="3"/>
      <c r="V71" s="3"/>
      <c r="W71" s="3"/>
      <c r="X71" s="3"/>
      <c r="Y71" s="3"/>
      <c r="Z71" s="3"/>
    </row>
    <row r="72" customFormat="false" ht="15.75" hidden="false" customHeight="true" outlineLevel="0" collapsed="false">
      <c r="A72" s="3"/>
      <c r="B72" s="41" t="n">
        <v>49</v>
      </c>
      <c r="C72" s="27" t="s">
        <v>112</v>
      </c>
      <c r="D72" s="27" t="s">
        <v>113</v>
      </c>
      <c r="E72" s="28" t="s">
        <v>121</v>
      </c>
      <c r="F72" s="27" t="s">
        <v>48</v>
      </c>
      <c r="G72" s="42" t="s">
        <v>37</v>
      </c>
      <c r="H72" s="30" t="n">
        <v>2062.11</v>
      </c>
      <c r="I72" s="42"/>
      <c r="J72" s="43"/>
      <c r="K72" s="44" t="s">
        <v>115</v>
      </c>
      <c r="L72" s="30" t="n">
        <f aca="false">H72*K72</f>
        <v>1031.055</v>
      </c>
      <c r="M72" s="45" t="n">
        <f aca="false">L72-O72</f>
        <v>515.5275</v>
      </c>
      <c r="N72" s="46"/>
      <c r="O72" s="46" t="n">
        <f aca="false">L72/2</f>
        <v>515.5275</v>
      </c>
      <c r="P72" s="47" t="n">
        <v>45808</v>
      </c>
      <c r="Q72" s="48" t="n">
        <v>45807</v>
      </c>
      <c r="R72" s="2"/>
      <c r="S72" s="3"/>
      <c r="T72" s="3"/>
      <c r="U72" s="3"/>
      <c r="V72" s="3"/>
      <c r="W72" s="3"/>
      <c r="X72" s="3"/>
      <c r="Y72" s="3"/>
      <c r="Z72" s="3"/>
    </row>
    <row r="73" customFormat="false" ht="15.75" hidden="false" customHeight="true" outlineLevel="0" collapsed="false">
      <c r="A73" s="3"/>
      <c r="B73" s="41" t="n">
        <v>50</v>
      </c>
      <c r="C73" s="27" t="s">
        <v>112</v>
      </c>
      <c r="D73" s="27" t="s">
        <v>113</v>
      </c>
      <c r="E73" s="28" t="s">
        <v>122</v>
      </c>
      <c r="F73" s="27" t="s">
        <v>51</v>
      </c>
      <c r="G73" s="42" t="s">
        <v>37</v>
      </c>
      <c r="H73" s="30" t="n">
        <v>1725.32</v>
      </c>
      <c r="I73" s="42"/>
      <c r="J73" s="43"/>
      <c r="K73" s="44" t="s">
        <v>117</v>
      </c>
      <c r="L73" s="30" t="n">
        <f aca="false">H73*K73</f>
        <v>517.596</v>
      </c>
      <c r="M73" s="45" t="n">
        <f aca="false">L73-O73</f>
        <v>258.798</v>
      </c>
      <c r="N73" s="46"/>
      <c r="O73" s="46" t="n">
        <f aca="false">L73/2</f>
        <v>258.798</v>
      </c>
      <c r="P73" s="47" t="n">
        <v>45838</v>
      </c>
      <c r="Q73" s="48" t="n">
        <v>45828</v>
      </c>
      <c r="R73" s="2"/>
      <c r="S73" s="3"/>
      <c r="T73" s="3"/>
      <c r="U73" s="3"/>
      <c r="V73" s="3"/>
      <c r="W73" s="3"/>
      <c r="X73" s="3"/>
      <c r="Y73" s="3"/>
      <c r="Z73" s="3"/>
    </row>
    <row r="74" customFormat="false" ht="15.75" hidden="false" customHeight="true" outlineLevel="0" collapsed="false">
      <c r="A74" s="3"/>
      <c r="B74" s="41" t="n">
        <v>51</v>
      </c>
      <c r="C74" s="27" t="s">
        <v>112</v>
      </c>
      <c r="D74" s="27" t="s">
        <v>113</v>
      </c>
      <c r="E74" s="28" t="s">
        <v>123</v>
      </c>
      <c r="F74" s="27" t="s">
        <v>54</v>
      </c>
      <c r="G74" s="42" t="s">
        <v>37</v>
      </c>
      <c r="H74" s="30" t="n">
        <v>1978.27</v>
      </c>
      <c r="I74" s="42"/>
      <c r="J74" s="43"/>
      <c r="K74" s="44" t="s">
        <v>115</v>
      </c>
      <c r="L74" s="30" t="n">
        <f aca="false">H74*K74</f>
        <v>989.135</v>
      </c>
      <c r="M74" s="45" t="n">
        <f aca="false">L74-O74</f>
        <v>494.5675</v>
      </c>
      <c r="N74" s="46"/>
      <c r="O74" s="46" t="n">
        <f aca="false">L74/2</f>
        <v>494.5675</v>
      </c>
      <c r="P74" s="47" t="n">
        <v>45838</v>
      </c>
      <c r="Q74" s="48" t="n">
        <v>45835</v>
      </c>
      <c r="R74" s="2"/>
      <c r="S74" s="3"/>
      <c r="T74" s="3"/>
      <c r="U74" s="3"/>
      <c r="V74" s="3"/>
      <c r="W74" s="3"/>
      <c r="X74" s="3"/>
      <c r="Y74" s="3"/>
      <c r="Z74" s="3"/>
    </row>
    <row r="75" customFormat="false" ht="15.75" hidden="false" customHeight="true" outlineLevel="0" collapsed="false">
      <c r="A75" s="3"/>
      <c r="B75" s="41" t="n">
        <v>52</v>
      </c>
      <c r="C75" s="27" t="s">
        <v>112</v>
      </c>
      <c r="D75" s="27" t="s">
        <v>113</v>
      </c>
      <c r="E75" s="28" t="s">
        <v>124</v>
      </c>
      <c r="F75" s="27" t="s">
        <v>57</v>
      </c>
      <c r="G75" s="42" t="s">
        <v>37</v>
      </c>
      <c r="H75" s="30" t="n">
        <v>1955.45</v>
      </c>
      <c r="I75" s="42"/>
      <c r="J75" s="43"/>
      <c r="K75" s="44" t="s">
        <v>115</v>
      </c>
      <c r="L75" s="30" t="n">
        <f aca="false">H75*K75</f>
        <v>977.725</v>
      </c>
      <c r="M75" s="45" t="n">
        <f aca="false">L75-O75</f>
        <v>488.8625</v>
      </c>
      <c r="N75" s="46"/>
      <c r="O75" s="46" t="n">
        <f aca="false">L75/2</f>
        <v>488.8625</v>
      </c>
      <c r="P75" s="47" t="n">
        <v>45869</v>
      </c>
      <c r="Q75" s="48" t="n">
        <v>45867</v>
      </c>
      <c r="R75" s="2"/>
      <c r="S75" s="3"/>
      <c r="T75" s="3"/>
      <c r="U75" s="3"/>
      <c r="V75" s="3"/>
      <c r="W75" s="3"/>
      <c r="X75" s="3"/>
      <c r="Y75" s="3"/>
      <c r="Z75" s="3"/>
    </row>
    <row r="76" customFormat="false" ht="15.75" hidden="false" customHeight="true" outlineLevel="0" collapsed="false">
      <c r="A76" s="3"/>
      <c r="B76" s="41" t="n">
        <v>53</v>
      </c>
      <c r="C76" s="27" t="s">
        <v>112</v>
      </c>
      <c r="D76" s="27" t="s">
        <v>113</v>
      </c>
      <c r="E76" s="28" t="s">
        <v>125</v>
      </c>
      <c r="F76" s="27" t="s">
        <v>60</v>
      </c>
      <c r="G76" s="42" t="s">
        <v>37</v>
      </c>
      <c r="H76" s="30" t="n">
        <v>1955.45</v>
      </c>
      <c r="I76" s="42"/>
      <c r="J76" s="43"/>
      <c r="K76" s="44" t="s">
        <v>115</v>
      </c>
      <c r="L76" s="30" t="n">
        <f aca="false">H76*K76</f>
        <v>977.725</v>
      </c>
      <c r="M76" s="45" t="n">
        <f aca="false">L76-O76</f>
        <v>488.8625</v>
      </c>
      <c r="N76" s="46"/>
      <c r="O76" s="46" t="n">
        <f aca="false">L76/2</f>
        <v>488.8625</v>
      </c>
      <c r="P76" s="47" t="n">
        <v>45900</v>
      </c>
      <c r="Q76" s="48" t="n">
        <v>45898</v>
      </c>
      <c r="R76" s="2"/>
      <c r="S76" s="3"/>
      <c r="T76" s="3"/>
      <c r="U76" s="3"/>
      <c r="V76" s="3"/>
      <c r="W76" s="3"/>
      <c r="X76" s="3"/>
      <c r="Y76" s="3"/>
      <c r="Z76" s="3"/>
    </row>
    <row r="77" customFormat="false" ht="15.75" hidden="false" customHeight="true" outlineLevel="0" collapsed="false">
      <c r="A77" s="3"/>
      <c r="B77" s="41" t="n">
        <v>54</v>
      </c>
      <c r="C77" s="27" t="s">
        <v>112</v>
      </c>
      <c r="D77" s="27" t="s">
        <v>113</v>
      </c>
      <c r="E77" s="28" t="s">
        <v>126</v>
      </c>
      <c r="F77" s="27" t="s">
        <v>63</v>
      </c>
      <c r="G77" s="42" t="s">
        <v>37</v>
      </c>
      <c r="H77" s="30" t="n">
        <v>1955.45</v>
      </c>
      <c r="I77" s="42"/>
      <c r="J77" s="43"/>
      <c r="K77" s="44" t="s">
        <v>115</v>
      </c>
      <c r="L77" s="30" t="n">
        <f aca="false">H77*K77</f>
        <v>977.725</v>
      </c>
      <c r="M77" s="45" t="n">
        <f aca="false">L77-O77</f>
        <v>488.8625</v>
      </c>
      <c r="N77" s="46"/>
      <c r="O77" s="46" t="n">
        <f aca="false">L77/2</f>
        <v>488.8625</v>
      </c>
      <c r="P77" s="47" t="n">
        <v>45930</v>
      </c>
      <c r="Q77" s="48" t="n">
        <v>45929</v>
      </c>
      <c r="R77" s="2"/>
      <c r="S77" s="3"/>
      <c r="T77" s="3"/>
      <c r="U77" s="3"/>
      <c r="V77" s="3"/>
      <c r="W77" s="3"/>
      <c r="X77" s="3"/>
      <c r="Y77" s="3"/>
      <c r="Z77" s="3"/>
    </row>
    <row r="78" customFormat="false" ht="15.75" hidden="false" customHeight="true" outlineLevel="0" collapsed="false">
      <c r="A78" s="3"/>
      <c r="B78" s="41" t="n">
        <v>55</v>
      </c>
      <c r="C78" s="27" t="s">
        <v>112</v>
      </c>
      <c r="D78" s="27" t="s">
        <v>113</v>
      </c>
      <c r="E78" s="28" t="s">
        <v>127</v>
      </c>
      <c r="F78" s="27" t="s">
        <v>66</v>
      </c>
      <c r="G78" s="42" t="s">
        <v>37</v>
      </c>
      <c r="H78" s="30" t="n">
        <v>1890.28</v>
      </c>
      <c r="I78" s="42"/>
      <c r="J78" s="43"/>
      <c r="K78" s="44" t="s">
        <v>115</v>
      </c>
      <c r="L78" s="30" t="n">
        <f aca="false">H78*K78</f>
        <v>945.14</v>
      </c>
      <c r="M78" s="45" t="n">
        <f aca="false">L78-O78</f>
        <v>472.57</v>
      </c>
      <c r="N78" s="46"/>
      <c r="O78" s="46" t="n">
        <f aca="false">L78/2</f>
        <v>472.57</v>
      </c>
      <c r="P78" s="47" t="n">
        <v>45961</v>
      </c>
      <c r="Q78" s="48" t="n">
        <v>45960</v>
      </c>
      <c r="R78" s="2"/>
      <c r="S78" s="3"/>
      <c r="T78" s="3"/>
      <c r="U78" s="3"/>
      <c r="V78" s="3"/>
      <c r="W78" s="3"/>
      <c r="X78" s="3"/>
      <c r="Y78" s="3"/>
      <c r="Z78" s="3"/>
    </row>
    <row r="79" customFormat="false" ht="15.75" hidden="false" customHeight="true" outlineLevel="0" collapsed="false">
      <c r="A79" s="3"/>
      <c r="B79" s="41" t="n">
        <v>56</v>
      </c>
      <c r="C79" s="27" t="s">
        <v>112</v>
      </c>
      <c r="D79" s="27" t="s">
        <v>113</v>
      </c>
      <c r="E79" s="28" t="s">
        <v>128</v>
      </c>
      <c r="F79" s="27" t="s">
        <v>69</v>
      </c>
      <c r="G79" s="42" t="s">
        <v>37</v>
      </c>
      <c r="H79" s="30" t="n">
        <v>1955.45</v>
      </c>
      <c r="I79" s="42"/>
      <c r="J79" s="43"/>
      <c r="K79" s="44" t="s">
        <v>115</v>
      </c>
      <c r="L79" s="30" t="n">
        <f aca="false">H79*K79</f>
        <v>977.725</v>
      </c>
      <c r="M79" s="45" t="n">
        <f aca="false">L79-O79</f>
        <v>488.8625</v>
      </c>
      <c r="N79" s="46"/>
      <c r="O79" s="46" t="n">
        <f aca="false">L79/2</f>
        <v>488.8625</v>
      </c>
      <c r="P79" s="47" t="n">
        <v>45991</v>
      </c>
      <c r="Q79" s="48" t="n">
        <v>45992</v>
      </c>
      <c r="R79" s="2"/>
      <c r="S79" s="3"/>
      <c r="T79" s="3"/>
      <c r="U79" s="3"/>
      <c r="V79" s="3"/>
      <c r="W79" s="3"/>
      <c r="X79" s="3"/>
      <c r="Y79" s="3"/>
      <c r="Z79" s="3"/>
    </row>
    <row r="80" customFormat="false" ht="15.75" hidden="false" customHeight="true" outlineLevel="0" collapsed="false">
      <c r="A80" s="3"/>
      <c r="B80" s="41" t="n">
        <v>57</v>
      </c>
      <c r="C80" s="27" t="s">
        <v>112</v>
      </c>
      <c r="D80" s="27" t="s">
        <v>113</v>
      </c>
      <c r="E80" s="28" t="s">
        <v>129</v>
      </c>
      <c r="F80" s="27" t="s">
        <v>72</v>
      </c>
      <c r="G80" s="42" t="s">
        <v>37</v>
      </c>
      <c r="H80" s="30" t="n">
        <v>1891.56</v>
      </c>
      <c r="I80" s="42"/>
      <c r="J80" s="43"/>
      <c r="K80" s="44" t="s">
        <v>115</v>
      </c>
      <c r="L80" s="30" t="n">
        <f aca="false">H80*K80</f>
        <v>945.78</v>
      </c>
      <c r="M80" s="45" t="n">
        <f aca="false">L80-O80</f>
        <v>472.89</v>
      </c>
      <c r="N80" s="46"/>
      <c r="O80" s="46" t="n">
        <f aca="false">L80/2</f>
        <v>472.89</v>
      </c>
      <c r="P80" s="53" t="n">
        <v>46022</v>
      </c>
      <c r="Q80" s="48" t="n">
        <v>46010</v>
      </c>
      <c r="R80" s="2"/>
      <c r="S80" s="3"/>
      <c r="T80" s="3"/>
      <c r="U80" s="3"/>
      <c r="V80" s="3"/>
      <c r="W80" s="3"/>
      <c r="X80" s="3"/>
      <c r="Y80" s="3"/>
      <c r="Z80" s="3"/>
    </row>
    <row r="81" customFormat="false" ht="15.75" hidden="false" customHeight="true" outlineLevel="0" collapsed="false">
      <c r="A81" s="3"/>
      <c r="B81" s="41" t="n">
        <v>58</v>
      </c>
      <c r="C81" s="27" t="s">
        <v>112</v>
      </c>
      <c r="D81" s="27" t="s">
        <v>113</v>
      </c>
      <c r="E81" s="28" t="s">
        <v>130</v>
      </c>
      <c r="F81" s="27" t="s">
        <v>74</v>
      </c>
      <c r="G81" s="42" t="s">
        <v>37</v>
      </c>
      <c r="H81" s="30" t="n">
        <v>1955.45</v>
      </c>
      <c r="I81" s="42"/>
      <c r="J81" s="43"/>
      <c r="K81" s="44" t="s">
        <v>115</v>
      </c>
      <c r="L81" s="30" t="n">
        <f aca="false">H81*K81</f>
        <v>977.725</v>
      </c>
      <c r="M81" s="45" t="n">
        <f aca="false">L81-O81</f>
        <v>488.8625</v>
      </c>
      <c r="N81" s="46"/>
      <c r="O81" s="46" t="n">
        <f aca="false">L81/2</f>
        <v>488.8625</v>
      </c>
      <c r="P81" s="53" t="n">
        <v>46022</v>
      </c>
      <c r="Q81" s="59" t="n">
        <v>46020</v>
      </c>
      <c r="R81" s="2"/>
      <c r="S81" s="3"/>
      <c r="T81" s="3"/>
      <c r="U81" s="3"/>
      <c r="V81" s="3"/>
      <c r="W81" s="3"/>
      <c r="X81" s="3"/>
      <c r="Y81" s="3"/>
      <c r="Z81" s="3"/>
    </row>
    <row r="82" customFormat="false" ht="15.75" hidden="false" customHeight="true" outlineLevel="0" collapsed="false">
      <c r="A82" s="3"/>
      <c r="B82" s="41" t="n">
        <v>59</v>
      </c>
      <c r="C82" s="27" t="s">
        <v>131</v>
      </c>
      <c r="D82" s="27" t="s">
        <v>132</v>
      </c>
      <c r="E82" s="28" t="s">
        <v>133</v>
      </c>
      <c r="F82" s="27" t="s">
        <v>45</v>
      </c>
      <c r="G82" s="42" t="s">
        <v>37</v>
      </c>
      <c r="H82" s="30" t="n">
        <v>271.75</v>
      </c>
      <c r="I82" s="42"/>
      <c r="J82" s="43"/>
      <c r="K82" s="44" t="s">
        <v>115</v>
      </c>
      <c r="L82" s="30" t="n">
        <f aca="false">H82*K82</f>
        <v>135.875</v>
      </c>
      <c r="M82" s="45" t="n">
        <f aca="false">L82-O82</f>
        <v>67.9375</v>
      </c>
      <c r="N82" s="46"/>
      <c r="O82" s="46" t="n">
        <f aca="false">L82/2</f>
        <v>67.9375</v>
      </c>
      <c r="P82" s="47" t="n">
        <v>45777</v>
      </c>
      <c r="Q82" s="48" t="n">
        <v>45777</v>
      </c>
      <c r="R82" s="2"/>
      <c r="S82" s="3"/>
      <c r="T82" s="3"/>
      <c r="U82" s="3"/>
      <c r="V82" s="3"/>
      <c r="W82" s="3"/>
      <c r="X82" s="3"/>
      <c r="Y82" s="3"/>
      <c r="Z82" s="3"/>
    </row>
    <row r="83" customFormat="false" ht="15.75" hidden="false" customHeight="true" outlineLevel="0" collapsed="false">
      <c r="A83" s="3"/>
      <c r="B83" s="41" t="n">
        <v>60</v>
      </c>
      <c r="C83" s="27" t="s">
        <v>131</v>
      </c>
      <c r="D83" s="27" t="s">
        <v>132</v>
      </c>
      <c r="E83" s="28" t="s">
        <v>134</v>
      </c>
      <c r="F83" s="27" t="s">
        <v>48</v>
      </c>
      <c r="G83" s="42" t="s">
        <v>37</v>
      </c>
      <c r="H83" s="30" t="n">
        <v>845.65</v>
      </c>
      <c r="I83" s="42"/>
      <c r="J83" s="43"/>
      <c r="K83" s="44" t="s">
        <v>115</v>
      </c>
      <c r="L83" s="30" t="n">
        <f aca="false">H83*K83</f>
        <v>422.825</v>
      </c>
      <c r="M83" s="45" t="n">
        <f aca="false">L83-O83</f>
        <v>211.4125</v>
      </c>
      <c r="N83" s="46"/>
      <c r="O83" s="46" t="n">
        <f aca="false">L83/2</f>
        <v>211.4125</v>
      </c>
      <c r="P83" s="47" t="n">
        <v>45808</v>
      </c>
      <c r="Q83" s="48" t="n">
        <v>45807</v>
      </c>
      <c r="R83" s="2"/>
      <c r="S83" s="3"/>
      <c r="T83" s="3"/>
      <c r="U83" s="3"/>
      <c r="V83" s="3"/>
      <c r="W83" s="3"/>
      <c r="X83" s="3"/>
      <c r="Y83" s="3"/>
      <c r="Z83" s="3"/>
    </row>
    <row r="84" customFormat="false" ht="15.75" hidden="false" customHeight="true" outlineLevel="0" collapsed="false">
      <c r="A84" s="3"/>
      <c r="B84" s="41" t="n">
        <v>61</v>
      </c>
      <c r="C84" s="27" t="s">
        <v>131</v>
      </c>
      <c r="D84" s="27" t="s">
        <v>132</v>
      </c>
      <c r="E84" s="28" t="s">
        <v>135</v>
      </c>
      <c r="F84" s="27" t="s">
        <v>51</v>
      </c>
      <c r="G84" s="42" t="s">
        <v>37</v>
      </c>
      <c r="H84" s="30" t="n">
        <v>317.04</v>
      </c>
      <c r="I84" s="42"/>
      <c r="J84" s="43"/>
      <c r="K84" s="44" t="s">
        <v>115</v>
      </c>
      <c r="L84" s="30" t="n">
        <f aca="false">H84*K84</f>
        <v>158.52</v>
      </c>
      <c r="M84" s="45" t="n">
        <f aca="false">L84-O84</f>
        <v>79.26</v>
      </c>
      <c r="N84" s="46"/>
      <c r="O84" s="46" t="n">
        <f aca="false">L84/2</f>
        <v>79.26</v>
      </c>
      <c r="P84" s="47" t="n">
        <v>45838</v>
      </c>
      <c r="Q84" s="48" t="n">
        <v>45828</v>
      </c>
      <c r="R84" s="2"/>
      <c r="S84" s="3"/>
      <c r="T84" s="3"/>
      <c r="U84" s="3"/>
      <c r="V84" s="3"/>
      <c r="W84" s="3"/>
      <c r="X84" s="3"/>
      <c r="Y84" s="3"/>
      <c r="Z84" s="3"/>
    </row>
    <row r="85" customFormat="false" ht="15.75" hidden="false" customHeight="true" outlineLevel="0" collapsed="false">
      <c r="A85" s="3"/>
      <c r="B85" s="41" t="n">
        <v>62</v>
      </c>
      <c r="C85" s="27" t="s">
        <v>131</v>
      </c>
      <c r="D85" s="27" t="s">
        <v>132</v>
      </c>
      <c r="E85" s="28" t="s">
        <v>136</v>
      </c>
      <c r="F85" s="27" t="s">
        <v>54</v>
      </c>
      <c r="G85" s="42" t="s">
        <v>37</v>
      </c>
      <c r="H85" s="30" t="n">
        <v>838.1</v>
      </c>
      <c r="I85" s="42"/>
      <c r="J85" s="43"/>
      <c r="K85" s="44" t="s">
        <v>115</v>
      </c>
      <c r="L85" s="30" t="n">
        <f aca="false">H85*K85</f>
        <v>419.05</v>
      </c>
      <c r="M85" s="45" t="n">
        <f aca="false">L85-O85</f>
        <v>209.525</v>
      </c>
      <c r="N85" s="46"/>
      <c r="O85" s="46" t="n">
        <f aca="false">L85/2</f>
        <v>209.525</v>
      </c>
      <c r="P85" s="47" t="n">
        <v>45838</v>
      </c>
      <c r="Q85" s="48" t="n">
        <v>45835</v>
      </c>
      <c r="R85" s="2"/>
      <c r="S85" s="3"/>
      <c r="T85" s="3"/>
      <c r="U85" s="3"/>
      <c r="V85" s="3"/>
      <c r="W85" s="3"/>
      <c r="X85" s="3"/>
      <c r="Y85" s="3"/>
      <c r="Z85" s="3"/>
    </row>
    <row r="86" customFormat="false" ht="15.75" hidden="false" customHeight="true" outlineLevel="0" collapsed="false">
      <c r="A86" s="3"/>
      <c r="B86" s="41" t="n">
        <v>63</v>
      </c>
      <c r="C86" s="27" t="s">
        <v>131</v>
      </c>
      <c r="D86" s="27" t="s">
        <v>132</v>
      </c>
      <c r="E86" s="28" t="s">
        <v>137</v>
      </c>
      <c r="F86" s="27" t="s">
        <v>57</v>
      </c>
      <c r="G86" s="42" t="s">
        <v>37</v>
      </c>
      <c r="H86" s="30" t="n">
        <v>838.1</v>
      </c>
      <c r="I86" s="42"/>
      <c r="J86" s="43"/>
      <c r="K86" s="44" t="s">
        <v>115</v>
      </c>
      <c r="L86" s="30" t="n">
        <f aca="false">H86*K86</f>
        <v>419.05</v>
      </c>
      <c r="M86" s="45" t="n">
        <f aca="false">L86-O86</f>
        <v>209.525</v>
      </c>
      <c r="N86" s="46"/>
      <c r="O86" s="46" t="n">
        <f aca="false">L86/2</f>
        <v>209.525</v>
      </c>
      <c r="P86" s="47" t="n">
        <v>45869</v>
      </c>
      <c r="Q86" s="48" t="n">
        <v>45867</v>
      </c>
      <c r="R86" s="2"/>
      <c r="S86" s="3"/>
      <c r="T86" s="3"/>
      <c r="U86" s="3"/>
      <c r="V86" s="3"/>
      <c r="W86" s="3"/>
      <c r="X86" s="3"/>
      <c r="Y86" s="3"/>
      <c r="Z86" s="3"/>
    </row>
    <row r="87" customFormat="false" ht="15.75" hidden="false" customHeight="true" outlineLevel="0" collapsed="false">
      <c r="A87" s="3"/>
      <c r="B87" s="41" t="n">
        <v>64</v>
      </c>
      <c r="C87" s="27" t="s">
        <v>131</v>
      </c>
      <c r="D87" s="27" t="s">
        <v>132</v>
      </c>
      <c r="E87" s="28" t="s">
        <v>138</v>
      </c>
      <c r="F87" s="27" t="s">
        <v>60</v>
      </c>
      <c r="G87" s="42" t="s">
        <v>37</v>
      </c>
      <c r="H87" s="30" t="n">
        <v>838.1</v>
      </c>
      <c r="I87" s="42"/>
      <c r="J87" s="43"/>
      <c r="K87" s="44" t="s">
        <v>115</v>
      </c>
      <c r="L87" s="30" t="n">
        <f aca="false">H87*K87</f>
        <v>419.05</v>
      </c>
      <c r="M87" s="45" t="n">
        <f aca="false">L87-O87</f>
        <v>209.525</v>
      </c>
      <c r="N87" s="46"/>
      <c r="O87" s="46" t="n">
        <f aca="false">L87/2</f>
        <v>209.525</v>
      </c>
      <c r="P87" s="47" t="n">
        <v>45900</v>
      </c>
      <c r="Q87" s="48" t="n">
        <v>45898</v>
      </c>
      <c r="R87" s="2"/>
      <c r="S87" s="3"/>
      <c r="T87" s="3"/>
      <c r="U87" s="3"/>
      <c r="V87" s="3"/>
      <c r="W87" s="3"/>
      <c r="X87" s="3"/>
      <c r="Y87" s="3"/>
      <c r="Z87" s="3"/>
    </row>
    <row r="88" customFormat="false" ht="15.75" hidden="false" customHeight="true" outlineLevel="0" collapsed="false">
      <c r="A88" s="3"/>
      <c r="B88" s="41" t="n">
        <v>65</v>
      </c>
      <c r="C88" s="27" t="s">
        <v>131</v>
      </c>
      <c r="D88" s="27" t="s">
        <v>132</v>
      </c>
      <c r="E88" s="28" t="s">
        <v>139</v>
      </c>
      <c r="F88" s="27" t="s">
        <v>63</v>
      </c>
      <c r="G88" s="42" t="s">
        <v>37</v>
      </c>
      <c r="H88" s="30" t="n">
        <v>838.1</v>
      </c>
      <c r="I88" s="42"/>
      <c r="J88" s="43"/>
      <c r="K88" s="44" t="s">
        <v>115</v>
      </c>
      <c r="L88" s="30" t="n">
        <f aca="false">H88*K88</f>
        <v>419.05</v>
      </c>
      <c r="M88" s="45" t="n">
        <f aca="false">L88-O88</f>
        <v>209.525</v>
      </c>
      <c r="N88" s="46"/>
      <c r="O88" s="46" t="n">
        <f aca="false">L88/2</f>
        <v>209.525</v>
      </c>
      <c r="P88" s="47" t="n">
        <v>45930</v>
      </c>
      <c r="Q88" s="48" t="n">
        <v>45929</v>
      </c>
      <c r="R88" s="2"/>
      <c r="S88" s="3"/>
      <c r="T88" s="3"/>
      <c r="U88" s="3"/>
      <c r="V88" s="3"/>
      <c r="W88" s="3"/>
      <c r="X88" s="3"/>
      <c r="Y88" s="3"/>
      <c r="Z88" s="3"/>
    </row>
    <row r="89" customFormat="false" ht="15.75" hidden="false" customHeight="true" outlineLevel="0" collapsed="false">
      <c r="A89" s="3"/>
      <c r="B89" s="41" t="n">
        <v>66</v>
      </c>
      <c r="C89" s="27" t="s">
        <v>131</v>
      </c>
      <c r="D89" s="27" t="s">
        <v>132</v>
      </c>
      <c r="E89" s="28" t="s">
        <v>140</v>
      </c>
      <c r="F89" s="27" t="s">
        <v>66</v>
      </c>
      <c r="G89" s="42" t="s">
        <v>37</v>
      </c>
      <c r="H89" s="30" t="n">
        <v>810.17</v>
      </c>
      <c r="I89" s="42"/>
      <c r="J89" s="43"/>
      <c r="K89" s="44" t="s">
        <v>115</v>
      </c>
      <c r="L89" s="30" t="n">
        <f aca="false">H89*K89</f>
        <v>405.085</v>
      </c>
      <c r="M89" s="45" t="n">
        <f aca="false">L89-O89</f>
        <v>202.5425</v>
      </c>
      <c r="N89" s="46"/>
      <c r="O89" s="46" t="n">
        <f aca="false">L89/2</f>
        <v>202.5425</v>
      </c>
      <c r="P89" s="47" t="n">
        <v>45961</v>
      </c>
      <c r="Q89" s="48" t="n">
        <v>45960</v>
      </c>
      <c r="R89" s="2"/>
      <c r="S89" s="3"/>
      <c r="T89" s="3"/>
      <c r="U89" s="3"/>
      <c r="V89" s="3"/>
      <c r="W89" s="3"/>
      <c r="X89" s="3"/>
      <c r="Y89" s="3"/>
      <c r="Z89" s="3"/>
    </row>
    <row r="90" customFormat="false" ht="15.75" hidden="false" customHeight="true" outlineLevel="0" collapsed="false">
      <c r="A90" s="3"/>
      <c r="B90" s="41" t="n">
        <v>67</v>
      </c>
      <c r="C90" s="27" t="s">
        <v>131</v>
      </c>
      <c r="D90" s="27" t="s">
        <v>132</v>
      </c>
      <c r="E90" s="28" t="s">
        <v>141</v>
      </c>
      <c r="F90" s="27" t="s">
        <v>69</v>
      </c>
      <c r="G90" s="42" t="s">
        <v>37</v>
      </c>
      <c r="H90" s="30" t="n">
        <v>838.1</v>
      </c>
      <c r="I90" s="42"/>
      <c r="J90" s="43"/>
      <c r="K90" s="44" t="s">
        <v>115</v>
      </c>
      <c r="L90" s="30" t="n">
        <f aca="false">H90*K90</f>
        <v>419.05</v>
      </c>
      <c r="M90" s="45" t="n">
        <f aca="false">L90-O90</f>
        <v>209.525</v>
      </c>
      <c r="N90" s="46"/>
      <c r="O90" s="46" t="n">
        <f aca="false">L90/2</f>
        <v>209.525</v>
      </c>
      <c r="P90" s="47" t="n">
        <v>45991</v>
      </c>
      <c r="Q90" s="48" t="n">
        <v>45992</v>
      </c>
      <c r="R90" s="2"/>
      <c r="S90" s="3"/>
      <c r="T90" s="3"/>
      <c r="U90" s="3"/>
      <c r="V90" s="3"/>
      <c r="W90" s="3"/>
      <c r="X90" s="3"/>
      <c r="Y90" s="3"/>
      <c r="Z90" s="3"/>
    </row>
    <row r="91" customFormat="false" ht="15.75" hidden="false" customHeight="true" outlineLevel="0" collapsed="false">
      <c r="A91" s="3"/>
      <c r="B91" s="41" t="n">
        <v>68</v>
      </c>
      <c r="C91" s="27" t="s">
        <v>131</v>
      </c>
      <c r="D91" s="27" t="s">
        <v>132</v>
      </c>
      <c r="E91" s="28" t="s">
        <v>142</v>
      </c>
      <c r="F91" s="27" t="s">
        <v>72</v>
      </c>
      <c r="G91" s="42" t="s">
        <v>37</v>
      </c>
      <c r="H91" s="30" t="n">
        <v>810.72</v>
      </c>
      <c r="I91" s="42"/>
      <c r="J91" s="43"/>
      <c r="K91" s="44" t="s">
        <v>115</v>
      </c>
      <c r="L91" s="30" t="n">
        <f aca="false">H91*K91</f>
        <v>405.36</v>
      </c>
      <c r="M91" s="45" t="n">
        <f aca="false">L91-O91</f>
        <v>202.68</v>
      </c>
      <c r="N91" s="46"/>
      <c r="O91" s="46" t="n">
        <f aca="false">L91/2</f>
        <v>202.68</v>
      </c>
      <c r="P91" s="53" t="n">
        <v>46022</v>
      </c>
      <c r="Q91" s="48" t="n">
        <v>46010</v>
      </c>
      <c r="R91" s="2"/>
      <c r="S91" s="3"/>
      <c r="T91" s="3"/>
      <c r="U91" s="3"/>
      <c r="V91" s="3"/>
      <c r="W91" s="3"/>
      <c r="X91" s="3"/>
      <c r="Y91" s="3"/>
      <c r="Z91" s="3"/>
    </row>
    <row r="92" customFormat="false" ht="15.75" hidden="false" customHeight="true" outlineLevel="0" collapsed="false">
      <c r="A92" s="3"/>
      <c r="B92" s="41" t="n">
        <v>69</v>
      </c>
      <c r="C92" s="27" t="s">
        <v>131</v>
      </c>
      <c r="D92" s="27" t="s">
        <v>132</v>
      </c>
      <c r="E92" s="28" t="s">
        <v>143</v>
      </c>
      <c r="F92" s="27" t="s">
        <v>74</v>
      </c>
      <c r="G92" s="42" t="s">
        <v>37</v>
      </c>
      <c r="H92" s="30" t="n">
        <v>838.1</v>
      </c>
      <c r="I92" s="42"/>
      <c r="J92" s="43"/>
      <c r="K92" s="44" t="s">
        <v>115</v>
      </c>
      <c r="L92" s="30" t="n">
        <f aca="false">H92*K92</f>
        <v>419.05</v>
      </c>
      <c r="M92" s="45" t="n">
        <f aca="false">L92-O92</f>
        <v>209.525</v>
      </c>
      <c r="N92" s="46"/>
      <c r="O92" s="46" t="n">
        <f aca="false">L92/2</f>
        <v>209.525</v>
      </c>
      <c r="P92" s="53" t="n">
        <v>46022</v>
      </c>
      <c r="Q92" s="59" t="n">
        <v>46020</v>
      </c>
      <c r="R92" s="2"/>
      <c r="S92" s="3"/>
      <c r="T92" s="3"/>
      <c r="U92" s="3"/>
      <c r="V92" s="3"/>
      <c r="W92" s="3"/>
      <c r="X92" s="3"/>
      <c r="Y92" s="3"/>
      <c r="Z92" s="3"/>
    </row>
    <row r="93" customFormat="false" ht="15.75" hidden="false" customHeight="true" outlineLevel="0" collapsed="false">
      <c r="A93" s="3"/>
      <c r="B93" s="41" t="n">
        <v>70</v>
      </c>
      <c r="C93" s="27" t="s">
        <v>144</v>
      </c>
      <c r="D93" s="60" t="s">
        <v>145</v>
      </c>
      <c r="E93" s="28" t="s">
        <v>146</v>
      </c>
      <c r="F93" s="27" t="s">
        <v>36</v>
      </c>
      <c r="G93" s="42" t="s">
        <v>37</v>
      </c>
      <c r="H93" s="30" t="n">
        <v>475.53</v>
      </c>
      <c r="I93" s="42"/>
      <c r="J93" s="43"/>
      <c r="K93" s="44" t="s">
        <v>147</v>
      </c>
      <c r="L93" s="30" t="n">
        <f aca="false">H93*K93</f>
        <v>475.53</v>
      </c>
      <c r="M93" s="45" t="n">
        <f aca="false">L93-O93</f>
        <v>237.765</v>
      </c>
      <c r="N93" s="46"/>
      <c r="O93" s="46" t="n">
        <f aca="false">L93/2</f>
        <v>237.765</v>
      </c>
      <c r="P93" s="47" t="n">
        <v>45688</v>
      </c>
      <c r="Q93" s="48" t="n">
        <v>45686</v>
      </c>
      <c r="R93" s="2"/>
      <c r="S93" s="3"/>
      <c r="T93" s="3"/>
      <c r="U93" s="3"/>
      <c r="V93" s="3"/>
      <c r="W93" s="3"/>
      <c r="X93" s="3"/>
      <c r="Y93" s="3"/>
      <c r="Z93" s="3"/>
    </row>
    <row r="94" customFormat="false" ht="15.75" hidden="false" customHeight="true" outlineLevel="0" collapsed="false">
      <c r="A94" s="3"/>
      <c r="B94" s="41" t="n">
        <v>71</v>
      </c>
      <c r="C94" s="27" t="s">
        <v>144</v>
      </c>
      <c r="D94" s="60" t="s">
        <v>145</v>
      </c>
      <c r="E94" s="28" t="s">
        <v>148</v>
      </c>
      <c r="F94" s="27" t="s">
        <v>40</v>
      </c>
      <c r="G94" s="42" t="s">
        <v>37</v>
      </c>
      <c r="H94" s="30" t="n">
        <v>475.53</v>
      </c>
      <c r="I94" s="42"/>
      <c r="J94" s="43"/>
      <c r="K94" s="44" t="s">
        <v>147</v>
      </c>
      <c r="L94" s="30" t="n">
        <f aca="false">H94*K94</f>
        <v>475.53</v>
      </c>
      <c r="M94" s="45" t="n">
        <f aca="false">L94-O94</f>
        <v>237.765</v>
      </c>
      <c r="N94" s="46"/>
      <c r="O94" s="46" t="n">
        <f aca="false">L94/2</f>
        <v>237.765</v>
      </c>
      <c r="P94" s="47" t="n">
        <v>45716</v>
      </c>
      <c r="Q94" s="48" t="n">
        <v>45715</v>
      </c>
      <c r="R94" s="2"/>
      <c r="S94" s="3"/>
      <c r="T94" s="3"/>
      <c r="U94" s="3"/>
      <c r="V94" s="3"/>
      <c r="W94" s="3"/>
      <c r="X94" s="3"/>
      <c r="Y94" s="3"/>
      <c r="Z94" s="3"/>
    </row>
    <row r="95" customFormat="false" ht="15.75" hidden="false" customHeight="true" outlineLevel="0" collapsed="false">
      <c r="A95" s="3"/>
      <c r="B95" s="41" t="n">
        <v>72</v>
      </c>
      <c r="C95" s="27" t="s">
        <v>144</v>
      </c>
      <c r="D95" s="60" t="s">
        <v>145</v>
      </c>
      <c r="E95" s="28" t="s">
        <v>149</v>
      </c>
      <c r="F95" s="27" t="s">
        <v>42</v>
      </c>
      <c r="G95" s="42" t="s">
        <v>37</v>
      </c>
      <c r="H95" s="30" t="n">
        <v>475.53</v>
      </c>
      <c r="I95" s="42"/>
      <c r="J95" s="43"/>
      <c r="K95" s="44" t="s">
        <v>147</v>
      </c>
      <c r="L95" s="30" t="n">
        <f aca="false">H95*K95</f>
        <v>475.53</v>
      </c>
      <c r="M95" s="45" t="n">
        <f aca="false">L95-O95</f>
        <v>237.765</v>
      </c>
      <c r="N95" s="46"/>
      <c r="O95" s="46" t="n">
        <f aca="false">L95/2</f>
        <v>237.765</v>
      </c>
      <c r="P95" s="47" t="n">
        <v>45747</v>
      </c>
      <c r="Q95" s="48" t="n">
        <v>45744</v>
      </c>
      <c r="R95" s="2"/>
      <c r="S95" s="3"/>
      <c r="T95" s="3"/>
      <c r="U95" s="3"/>
      <c r="V95" s="3"/>
      <c r="W95" s="3"/>
      <c r="X95" s="3"/>
      <c r="Y95" s="3"/>
      <c r="Z95" s="3"/>
    </row>
    <row r="96" customFormat="false" ht="15.75" hidden="false" customHeight="true" outlineLevel="0" collapsed="false">
      <c r="A96" s="3"/>
      <c r="B96" s="41" t="n">
        <v>73</v>
      </c>
      <c r="C96" s="27" t="s">
        <v>150</v>
      </c>
      <c r="D96" s="27" t="s">
        <v>151</v>
      </c>
      <c r="E96" s="28" t="s">
        <v>152</v>
      </c>
      <c r="F96" s="27" t="s">
        <v>153</v>
      </c>
      <c r="G96" s="42" t="s">
        <v>43</v>
      </c>
      <c r="H96" s="30" t="n">
        <v>3881.02</v>
      </c>
      <c r="I96" s="42"/>
      <c r="J96" s="43"/>
      <c r="K96" s="44" t="n">
        <f aca="false">L96/H96</f>
        <v>0.261529185626459</v>
      </c>
      <c r="L96" s="30" t="n">
        <v>1015</v>
      </c>
      <c r="M96" s="45" t="n">
        <f aca="false">L96-O96</f>
        <v>507.5</v>
      </c>
      <c r="N96" s="46"/>
      <c r="O96" s="46" t="n">
        <f aca="false">L96/2</f>
        <v>507.5</v>
      </c>
      <c r="P96" s="47" t="n">
        <v>45688</v>
      </c>
      <c r="Q96" s="48" t="n">
        <v>45716</v>
      </c>
      <c r="R96" s="2"/>
      <c r="S96" s="3"/>
      <c r="T96" s="3"/>
      <c r="U96" s="3"/>
      <c r="V96" s="3"/>
      <c r="W96" s="3"/>
      <c r="X96" s="3"/>
      <c r="Y96" s="3"/>
      <c r="Z96" s="3"/>
    </row>
    <row r="97" customFormat="false" ht="15.75" hidden="false" customHeight="true" outlineLevel="0" collapsed="false">
      <c r="A97" s="3"/>
      <c r="B97" s="41" t="n">
        <v>74</v>
      </c>
      <c r="C97" s="27" t="s">
        <v>150</v>
      </c>
      <c r="D97" s="27" t="s">
        <v>151</v>
      </c>
      <c r="E97" s="28" t="s">
        <v>154</v>
      </c>
      <c r="F97" s="27" t="s">
        <v>155</v>
      </c>
      <c r="G97" s="42" t="s">
        <v>43</v>
      </c>
      <c r="H97" s="30" t="n">
        <v>4235.42</v>
      </c>
      <c r="I97" s="42"/>
      <c r="J97" s="43"/>
      <c r="K97" s="44" t="n">
        <f aca="false">L97/H97</f>
        <v>0.239645654976366</v>
      </c>
      <c r="L97" s="30" t="n">
        <v>1015</v>
      </c>
      <c r="M97" s="45" t="n">
        <f aca="false">L97-O97</f>
        <v>507.5</v>
      </c>
      <c r="N97" s="46"/>
      <c r="O97" s="46" t="n">
        <f aca="false">L97/2</f>
        <v>507.5</v>
      </c>
      <c r="P97" s="47" t="n">
        <v>45716</v>
      </c>
      <c r="Q97" s="48" t="n">
        <v>45747</v>
      </c>
      <c r="R97" s="2"/>
      <c r="S97" s="3"/>
      <c r="T97" s="3"/>
      <c r="U97" s="3"/>
      <c r="V97" s="3"/>
      <c r="W97" s="3"/>
      <c r="X97" s="3"/>
      <c r="Y97" s="3"/>
      <c r="Z97" s="3"/>
    </row>
    <row r="98" customFormat="false" ht="15.75" hidden="false" customHeight="true" outlineLevel="0" collapsed="false">
      <c r="A98" s="3"/>
      <c r="B98" s="41" t="n">
        <v>75</v>
      </c>
      <c r="C98" s="27" t="s">
        <v>150</v>
      </c>
      <c r="D98" s="27" t="s">
        <v>151</v>
      </c>
      <c r="E98" s="28" t="s">
        <v>156</v>
      </c>
      <c r="F98" s="27" t="s">
        <v>157</v>
      </c>
      <c r="G98" s="42" t="s">
        <v>43</v>
      </c>
      <c r="H98" s="30" t="n">
        <v>3881.44</v>
      </c>
      <c r="I98" s="42"/>
      <c r="J98" s="43"/>
      <c r="K98" s="44" t="n">
        <f aca="false">L98/H98</f>
        <v>0.260225586380312</v>
      </c>
      <c r="L98" s="30" t="n">
        <v>1010.05</v>
      </c>
      <c r="M98" s="45" t="n">
        <f aca="false">L98-O98</f>
        <v>505.025</v>
      </c>
      <c r="N98" s="46"/>
      <c r="O98" s="46" t="n">
        <f aca="false">L98/2</f>
        <v>505.025</v>
      </c>
      <c r="P98" s="47" t="n">
        <v>45747</v>
      </c>
      <c r="Q98" s="48" t="n">
        <v>45777</v>
      </c>
      <c r="R98" s="2"/>
      <c r="S98" s="3"/>
      <c r="T98" s="3"/>
      <c r="U98" s="3"/>
      <c r="V98" s="3"/>
      <c r="W98" s="3"/>
      <c r="X98" s="3"/>
      <c r="Y98" s="3"/>
      <c r="Z98" s="3"/>
    </row>
    <row r="99" customFormat="false" ht="15.75" hidden="false" customHeight="true" outlineLevel="0" collapsed="false">
      <c r="A99" s="3"/>
      <c r="B99" s="41" t="n">
        <v>76</v>
      </c>
      <c r="C99" s="27" t="s">
        <v>150</v>
      </c>
      <c r="D99" s="27" t="s">
        <v>151</v>
      </c>
      <c r="E99" s="28" t="s">
        <v>158</v>
      </c>
      <c r="F99" s="27" t="s">
        <v>159</v>
      </c>
      <c r="G99" s="42" t="s">
        <v>43</v>
      </c>
      <c r="H99" s="30" t="n">
        <v>3530.79</v>
      </c>
      <c r="I99" s="42"/>
      <c r="J99" s="43"/>
      <c r="K99" s="44" t="n">
        <f aca="false">L99/H99</f>
        <v>0.211765638851362</v>
      </c>
      <c r="L99" s="30" t="n">
        <v>747.7</v>
      </c>
      <c r="M99" s="45" t="n">
        <f aca="false">L99-O99</f>
        <v>373.85</v>
      </c>
      <c r="N99" s="46"/>
      <c r="O99" s="46" t="n">
        <f aca="false">L99/2</f>
        <v>373.85</v>
      </c>
      <c r="P99" s="47" t="n">
        <v>45777</v>
      </c>
      <c r="Q99" s="48" t="n">
        <v>45808</v>
      </c>
      <c r="R99" s="2" t="str">
        <f aca="false">IF(L36=SUM(M36:O36)," ","el coste total ha de coincidir con al suma del importe imputado a la subvencion + importe imputado a otras subvenciones o ingresos + importes a cargo de la entidad")</f>
        <v> </v>
      </c>
      <c r="S99" s="3"/>
      <c r="T99" s="3"/>
      <c r="U99" s="3"/>
      <c r="V99" s="3"/>
      <c r="W99" s="3"/>
      <c r="X99" s="3"/>
      <c r="Y99" s="3"/>
      <c r="Z99" s="3"/>
    </row>
    <row r="100" customFormat="false" ht="15.75" hidden="false" customHeight="true" outlineLevel="0" collapsed="false">
      <c r="A100" s="3"/>
      <c r="B100" s="41" t="n">
        <v>77</v>
      </c>
      <c r="C100" s="27" t="s">
        <v>150</v>
      </c>
      <c r="D100" s="27" t="s">
        <v>151</v>
      </c>
      <c r="E100" s="28" t="s">
        <v>160</v>
      </c>
      <c r="F100" s="27" t="s">
        <v>161</v>
      </c>
      <c r="G100" s="42" t="s">
        <v>43</v>
      </c>
      <c r="H100" s="30" t="n">
        <v>3472.91</v>
      </c>
      <c r="I100" s="42"/>
      <c r="J100" s="43"/>
      <c r="K100" s="44" t="n">
        <f aca="false">L100/H100</f>
        <v>0.213529864004538</v>
      </c>
      <c r="L100" s="30" t="n">
        <v>741.57</v>
      </c>
      <c r="M100" s="45" t="n">
        <f aca="false">L100-O100</f>
        <v>370.785</v>
      </c>
      <c r="N100" s="46"/>
      <c r="O100" s="46" t="n">
        <f aca="false">L100/2</f>
        <v>370.785</v>
      </c>
      <c r="P100" s="47" t="n">
        <v>45808</v>
      </c>
      <c r="Q100" s="47" t="n">
        <v>45838</v>
      </c>
      <c r="S100" s="3"/>
      <c r="T100" s="3"/>
      <c r="U100" s="3"/>
      <c r="V100" s="3"/>
      <c r="W100" s="3"/>
      <c r="X100" s="3"/>
      <c r="Y100" s="3"/>
      <c r="Z100" s="3"/>
    </row>
    <row r="101" customFormat="false" ht="15.75" hidden="false" customHeight="true" outlineLevel="0" collapsed="false">
      <c r="A101" s="3"/>
      <c r="B101" s="41" t="n">
        <v>78</v>
      </c>
      <c r="C101" s="27" t="s">
        <v>150</v>
      </c>
      <c r="D101" s="27" t="s">
        <v>151</v>
      </c>
      <c r="E101" s="28" t="s">
        <v>162</v>
      </c>
      <c r="F101" s="27" t="s">
        <v>163</v>
      </c>
      <c r="G101" s="42" t="s">
        <v>43</v>
      </c>
      <c r="H101" s="30" t="n">
        <v>3370.71</v>
      </c>
      <c r="I101" s="42"/>
      <c r="J101" s="43"/>
      <c r="K101" s="44" t="n">
        <f aca="false">L101/H101</f>
        <v>0.220004094092936</v>
      </c>
      <c r="L101" s="30" t="n">
        <v>741.57</v>
      </c>
      <c r="M101" s="45" t="n">
        <f aca="false">L101-O101</f>
        <v>370.785</v>
      </c>
      <c r="N101" s="46"/>
      <c r="O101" s="46" t="n">
        <f aca="false">L101/2</f>
        <v>370.785</v>
      </c>
      <c r="P101" s="47" t="n">
        <v>45838</v>
      </c>
      <c r="Q101" s="61" t="n">
        <v>45869</v>
      </c>
      <c r="R101" s="62" t="n">
        <v>31</v>
      </c>
      <c r="S101" s="3"/>
      <c r="T101" s="3"/>
      <c r="U101" s="3"/>
      <c r="V101" s="3"/>
      <c r="W101" s="3"/>
      <c r="X101" s="3"/>
      <c r="Y101" s="3"/>
      <c r="Z101" s="3"/>
    </row>
    <row r="102" customFormat="false" ht="15.75" hidden="false" customHeight="true" outlineLevel="0" collapsed="false">
      <c r="A102" s="3"/>
      <c r="B102" s="41" t="n">
        <v>79</v>
      </c>
      <c r="C102" s="27" t="s">
        <v>150</v>
      </c>
      <c r="D102" s="27" t="s">
        <v>151</v>
      </c>
      <c r="E102" s="28" t="s">
        <v>164</v>
      </c>
      <c r="F102" s="27" t="s">
        <v>165</v>
      </c>
      <c r="G102" s="42" t="s">
        <v>43</v>
      </c>
      <c r="H102" s="30" t="n">
        <v>3370.71</v>
      </c>
      <c r="I102" s="42"/>
      <c r="J102" s="43"/>
      <c r="K102" s="44" t="n">
        <f aca="false">L102/H102</f>
        <v>0.220004094092936</v>
      </c>
      <c r="L102" s="30" t="n">
        <v>741.57</v>
      </c>
      <c r="M102" s="45" t="n">
        <f aca="false">L102-O102</f>
        <v>370.785</v>
      </c>
      <c r="N102" s="46"/>
      <c r="O102" s="46" t="n">
        <f aca="false">L102/2</f>
        <v>370.785</v>
      </c>
      <c r="P102" s="61" t="n">
        <v>45869</v>
      </c>
      <c r="Q102" s="61" t="n">
        <v>45900</v>
      </c>
      <c r="R102" s="2" t="str">
        <f aca="false">IF(L99=SUM(M99:O99)," ","el coste total ha de coincidir con al suma del importe imputado a la subvencion + importe imputado a otras subvenciones o ingresos + importes a cargo de la entidad")</f>
        <v> </v>
      </c>
      <c r="S102" s="3"/>
      <c r="T102" s="3"/>
      <c r="U102" s="3"/>
      <c r="V102" s="3"/>
      <c r="W102" s="3"/>
      <c r="X102" s="3"/>
      <c r="Y102" s="3"/>
      <c r="Z102" s="3"/>
    </row>
    <row r="103" customFormat="false" ht="15.75" hidden="false" customHeight="true" outlineLevel="0" collapsed="false">
      <c r="A103" s="3"/>
      <c r="B103" s="41" t="n">
        <v>80</v>
      </c>
      <c r="C103" s="27" t="s">
        <v>150</v>
      </c>
      <c r="D103" s="27" t="s">
        <v>151</v>
      </c>
      <c r="E103" s="28" t="s">
        <v>166</v>
      </c>
      <c r="F103" s="27" t="s">
        <v>167</v>
      </c>
      <c r="G103" s="42" t="s">
        <v>43</v>
      </c>
      <c r="H103" s="30" t="n">
        <v>3370.71</v>
      </c>
      <c r="I103" s="42"/>
      <c r="J103" s="43"/>
      <c r="K103" s="44" t="n">
        <f aca="false">L103/H103</f>
        <v>0.220004094092936</v>
      </c>
      <c r="L103" s="30" t="n">
        <v>741.57</v>
      </c>
      <c r="M103" s="45" t="n">
        <f aca="false">L103-O103</f>
        <v>370.785</v>
      </c>
      <c r="N103" s="46"/>
      <c r="O103" s="46" t="n">
        <f aca="false">L103/2</f>
        <v>370.785</v>
      </c>
      <c r="P103" s="61" t="n">
        <v>45900</v>
      </c>
      <c r="Q103" s="61" t="n">
        <v>45930</v>
      </c>
      <c r="R103" s="2" t="str">
        <f aca="false">IF(L100=SUM(M100:O100)," ","el coste total ha de coincidir con al suma del importe imputado a la subvencion + importe imputado a otras subvenciones o ingresos + importes a cargo de la entidad")</f>
        <v> </v>
      </c>
      <c r="S103" s="3"/>
      <c r="T103" s="3"/>
      <c r="U103" s="3"/>
      <c r="V103" s="3"/>
      <c r="W103" s="3"/>
      <c r="X103" s="3"/>
      <c r="Y103" s="3"/>
      <c r="Z103" s="3"/>
    </row>
    <row r="104" customFormat="false" ht="15.75" hidden="false" customHeight="true" outlineLevel="0" collapsed="false">
      <c r="A104" s="3"/>
      <c r="B104" s="41" t="n">
        <v>81</v>
      </c>
      <c r="C104" s="27" t="s">
        <v>150</v>
      </c>
      <c r="D104" s="27" t="s">
        <v>151</v>
      </c>
      <c r="E104" s="28" t="s">
        <v>168</v>
      </c>
      <c r="F104" s="27" t="s">
        <v>169</v>
      </c>
      <c r="G104" s="42" t="s">
        <v>43</v>
      </c>
      <c r="H104" s="30" t="n">
        <v>3370.71</v>
      </c>
      <c r="I104" s="42"/>
      <c r="J104" s="43"/>
      <c r="K104" s="44" t="n">
        <f aca="false">L104/H104</f>
        <v>0.220004094092936</v>
      </c>
      <c r="L104" s="30" t="n">
        <v>741.57</v>
      </c>
      <c r="M104" s="45" t="n">
        <f aca="false">L104-O104</f>
        <v>370.785</v>
      </c>
      <c r="N104" s="46"/>
      <c r="O104" s="46" t="n">
        <f aca="false">L104/2</f>
        <v>370.785</v>
      </c>
      <c r="P104" s="61" t="n">
        <v>45930</v>
      </c>
      <c r="Q104" s="61" t="n">
        <v>45961</v>
      </c>
      <c r="R104" s="2"/>
      <c r="S104" s="3"/>
      <c r="T104" s="3"/>
      <c r="U104" s="3"/>
      <c r="V104" s="3"/>
      <c r="W104" s="3"/>
      <c r="X104" s="3"/>
      <c r="Y104" s="3"/>
      <c r="Z104" s="3"/>
    </row>
    <row r="105" customFormat="false" ht="15.75" hidden="false" customHeight="true" outlineLevel="0" collapsed="false">
      <c r="A105" s="3"/>
      <c r="B105" s="41" t="n">
        <v>82</v>
      </c>
      <c r="C105" s="27" t="s">
        <v>150</v>
      </c>
      <c r="D105" s="27" t="s">
        <v>151</v>
      </c>
      <c r="E105" s="28" t="s">
        <v>170</v>
      </c>
      <c r="F105" s="27" t="s">
        <v>171</v>
      </c>
      <c r="G105" s="42" t="s">
        <v>43</v>
      </c>
      <c r="H105" s="30" t="n">
        <v>3275.47</v>
      </c>
      <c r="I105" s="42"/>
      <c r="J105" s="43"/>
      <c r="K105" s="44" t="n">
        <f aca="false">L105/H105</f>
        <v>0.226401096636513</v>
      </c>
      <c r="L105" s="30" t="n">
        <v>741.57</v>
      </c>
      <c r="M105" s="45" t="n">
        <f aca="false">L105-O105</f>
        <v>370.785</v>
      </c>
      <c r="N105" s="46"/>
      <c r="O105" s="46" t="n">
        <f aca="false">L105/2</f>
        <v>370.785</v>
      </c>
      <c r="P105" s="61" t="n">
        <v>45961</v>
      </c>
      <c r="Q105" s="61" t="n">
        <v>45991</v>
      </c>
      <c r="R105" s="2"/>
      <c r="S105" s="3"/>
      <c r="T105" s="3"/>
      <c r="U105" s="3"/>
      <c r="V105" s="3"/>
      <c r="W105" s="3"/>
      <c r="X105" s="3"/>
      <c r="Y105" s="3"/>
      <c r="Z105" s="3"/>
    </row>
    <row r="106" customFormat="false" ht="15.75" hidden="false" customHeight="true" outlineLevel="0" collapsed="false">
      <c r="A106" s="3"/>
      <c r="B106" s="41" t="n">
        <v>83</v>
      </c>
      <c r="C106" s="27" t="s">
        <v>150</v>
      </c>
      <c r="D106" s="27" t="s">
        <v>151</v>
      </c>
      <c r="E106" s="28" t="s">
        <v>172</v>
      </c>
      <c r="F106" s="27" t="s">
        <v>173</v>
      </c>
      <c r="G106" s="42" t="s">
        <v>43</v>
      </c>
      <c r="H106" s="63" t="n">
        <v>3370.71</v>
      </c>
      <c r="I106" s="42"/>
      <c r="J106" s="43"/>
      <c r="K106" s="44" t="n">
        <f aca="false">L106/H106</f>
        <v>0.220004094092936</v>
      </c>
      <c r="L106" s="30" t="n">
        <v>741.57</v>
      </c>
      <c r="M106" s="45" t="n">
        <f aca="false">L106-O106</f>
        <v>370.785</v>
      </c>
      <c r="N106" s="46"/>
      <c r="O106" s="46" t="n">
        <f aca="false">L106/2</f>
        <v>370.785</v>
      </c>
      <c r="P106" s="61" t="n">
        <v>45991</v>
      </c>
      <c r="Q106" s="61" t="n">
        <v>46012</v>
      </c>
      <c r="R106" s="2"/>
      <c r="S106" s="3"/>
      <c r="T106" s="3"/>
      <c r="U106" s="3"/>
      <c r="V106" s="3"/>
      <c r="W106" s="3"/>
      <c r="X106" s="3"/>
      <c r="Y106" s="3"/>
      <c r="Z106" s="3"/>
    </row>
    <row r="107" customFormat="false" ht="15.75" hidden="false" customHeight="true" outlineLevel="0" collapsed="false">
      <c r="A107" s="3"/>
      <c r="B107" s="41" t="n">
        <v>84</v>
      </c>
      <c r="C107" s="27" t="s">
        <v>150</v>
      </c>
      <c r="D107" s="27" t="s">
        <v>151</v>
      </c>
      <c r="E107" s="28" t="s">
        <v>174</v>
      </c>
      <c r="F107" s="27" t="s">
        <v>175</v>
      </c>
      <c r="G107" s="42" t="s">
        <v>43</v>
      </c>
      <c r="H107" s="63" t="n">
        <v>3370.71</v>
      </c>
      <c r="I107" s="42"/>
      <c r="J107" s="43"/>
      <c r="K107" s="44" t="n">
        <f aca="false">L107/H107</f>
        <v>0.220004094092936</v>
      </c>
      <c r="L107" s="30" t="n">
        <v>741.57</v>
      </c>
      <c r="M107" s="45" t="n">
        <f aca="false">L107-O107</f>
        <v>370.785</v>
      </c>
      <c r="N107" s="46"/>
      <c r="O107" s="46" t="n">
        <f aca="false">L107/2</f>
        <v>370.785</v>
      </c>
      <c r="P107" s="64" t="n">
        <v>46022</v>
      </c>
      <c r="Q107" s="65" t="n">
        <v>46053</v>
      </c>
      <c r="R107" s="2"/>
      <c r="S107" s="3"/>
      <c r="T107" s="3"/>
      <c r="U107" s="3"/>
      <c r="V107" s="3"/>
      <c r="W107" s="3"/>
      <c r="X107" s="3"/>
      <c r="Y107" s="3"/>
      <c r="Z107" s="3"/>
    </row>
    <row r="108" customFormat="false" ht="15.75" hidden="false" customHeight="true" outlineLevel="0" collapsed="false">
      <c r="A108" s="3"/>
      <c r="B108" s="41" t="n">
        <v>85</v>
      </c>
      <c r="C108" s="27" t="s">
        <v>176</v>
      </c>
      <c r="D108" s="27" t="s">
        <v>177</v>
      </c>
      <c r="E108" s="28" t="s">
        <v>178</v>
      </c>
      <c r="F108" s="27" t="s">
        <v>179</v>
      </c>
      <c r="G108" s="42" t="s">
        <v>52</v>
      </c>
      <c r="H108" s="63" t="n">
        <v>1769.61</v>
      </c>
      <c r="I108" s="30" t="n">
        <v>371.62</v>
      </c>
      <c r="J108" s="66" t="s">
        <v>180</v>
      </c>
      <c r="K108" s="44" t="n">
        <v>0.97222</v>
      </c>
      <c r="L108" s="30" t="n">
        <f aca="false">(H108+I108)*K108</f>
        <v>2081.7466306</v>
      </c>
      <c r="M108" s="45" t="n">
        <f aca="false">L108-O108</f>
        <v>2081.7466306</v>
      </c>
      <c r="N108" s="46"/>
      <c r="O108" s="46"/>
      <c r="P108" s="67" t="n">
        <v>45665</v>
      </c>
      <c r="Q108" s="68" t="n">
        <v>45670</v>
      </c>
      <c r="R108" s="2"/>
      <c r="S108" s="3"/>
      <c r="T108" s="3"/>
      <c r="U108" s="3"/>
      <c r="V108" s="3"/>
      <c r="W108" s="3"/>
      <c r="X108" s="3"/>
      <c r="Y108" s="3"/>
      <c r="Z108" s="3"/>
    </row>
    <row r="109" customFormat="false" ht="15.75" hidden="false" customHeight="true" outlineLevel="0" collapsed="false">
      <c r="A109" s="3"/>
      <c r="B109" s="41" t="n">
        <v>86</v>
      </c>
      <c r="C109" s="27" t="s">
        <v>176</v>
      </c>
      <c r="D109" s="27" t="s">
        <v>177</v>
      </c>
      <c r="E109" s="28" t="s">
        <v>181</v>
      </c>
      <c r="F109" s="60" t="s">
        <v>182</v>
      </c>
      <c r="G109" s="42" t="s">
        <v>52</v>
      </c>
      <c r="H109" s="63" t="n">
        <v>20.86</v>
      </c>
      <c r="I109" s="30" t="n">
        <v>4.38</v>
      </c>
      <c r="J109" s="66" t="s">
        <v>180</v>
      </c>
      <c r="K109" s="44" t="n">
        <v>0.5485</v>
      </c>
      <c r="L109" s="30" t="n">
        <f aca="false">(H109+I109)*K109</f>
        <v>13.84414</v>
      </c>
      <c r="M109" s="45" t="n">
        <f aca="false">L109-O109</f>
        <v>13.84414</v>
      </c>
      <c r="N109" s="69"/>
      <c r="O109" s="69"/>
      <c r="P109" s="47" t="n">
        <v>45665</v>
      </c>
      <c r="Q109" s="68" t="n">
        <v>45709</v>
      </c>
      <c r="R109" s="2"/>
      <c r="S109" s="3"/>
      <c r="T109" s="3"/>
      <c r="U109" s="3"/>
      <c r="V109" s="3"/>
      <c r="W109" s="3"/>
      <c r="X109" s="3"/>
      <c r="Y109" s="3"/>
      <c r="Z109" s="3"/>
    </row>
    <row r="110" customFormat="false" ht="15.75" hidden="false" customHeight="true" outlineLevel="0" collapsed="false">
      <c r="A110" s="3"/>
      <c r="B110" s="41" t="n">
        <v>87</v>
      </c>
      <c r="C110" s="27" t="s">
        <v>176</v>
      </c>
      <c r="D110" s="27" t="s">
        <v>177</v>
      </c>
      <c r="E110" s="28" t="s">
        <v>183</v>
      </c>
      <c r="F110" s="60" t="s">
        <v>182</v>
      </c>
      <c r="G110" s="42" t="s">
        <v>52</v>
      </c>
      <c r="H110" s="63" t="n">
        <v>9.7</v>
      </c>
      <c r="I110" s="30" t="n">
        <v>2.04</v>
      </c>
      <c r="J110" s="66" t="s">
        <v>180</v>
      </c>
      <c r="K110" s="44" t="n">
        <v>0.597</v>
      </c>
      <c r="L110" s="30" t="n">
        <f aca="false">(H110+I110)*K110</f>
        <v>7.00878</v>
      </c>
      <c r="M110" s="45" t="n">
        <f aca="false">L110-O110</f>
        <v>7.00878</v>
      </c>
      <c r="N110" s="46"/>
      <c r="O110" s="46"/>
      <c r="P110" s="47" t="n">
        <v>45712</v>
      </c>
      <c r="Q110" s="68" t="n">
        <v>45712</v>
      </c>
      <c r="R110" s="2"/>
      <c r="S110" s="3"/>
      <c r="T110" s="3"/>
      <c r="U110" s="3"/>
      <c r="V110" s="3"/>
      <c r="W110" s="3"/>
      <c r="X110" s="3"/>
      <c r="Y110" s="3"/>
      <c r="Z110" s="3"/>
    </row>
    <row r="111" customFormat="false" ht="15.75" hidden="false" customHeight="true" outlineLevel="0" collapsed="false">
      <c r="A111" s="3"/>
      <c r="B111" s="41" t="n">
        <v>88</v>
      </c>
      <c r="C111" s="27" t="s">
        <v>176</v>
      </c>
      <c r="D111" s="27" t="s">
        <v>177</v>
      </c>
      <c r="E111" s="28" t="s">
        <v>184</v>
      </c>
      <c r="F111" s="60" t="s">
        <v>182</v>
      </c>
      <c r="G111" s="42" t="s">
        <v>52</v>
      </c>
      <c r="H111" s="63" t="n">
        <v>16</v>
      </c>
      <c r="I111" s="30" t="n">
        <v>3.36</v>
      </c>
      <c r="J111" s="66" t="s">
        <v>180</v>
      </c>
      <c r="K111" s="44" t="n">
        <v>0.1893</v>
      </c>
      <c r="L111" s="30" t="n">
        <f aca="false">(H111+I111)*K111</f>
        <v>3.664848</v>
      </c>
      <c r="M111" s="45" t="n">
        <f aca="false">L111-O111</f>
        <v>3.664848</v>
      </c>
      <c r="N111" s="46"/>
      <c r="O111" s="46"/>
      <c r="P111" s="67" t="n">
        <v>45946</v>
      </c>
      <c r="Q111" s="68" t="n">
        <v>45951</v>
      </c>
      <c r="R111" s="2"/>
      <c r="S111" s="3"/>
      <c r="T111" s="3"/>
      <c r="U111" s="3"/>
      <c r="V111" s="3"/>
      <c r="W111" s="3"/>
      <c r="X111" s="3"/>
      <c r="Y111" s="3"/>
      <c r="Z111" s="3"/>
    </row>
    <row r="112" customFormat="false" ht="15.75" hidden="false" customHeight="true" outlineLevel="0" collapsed="false">
      <c r="A112" s="3"/>
      <c r="B112" s="41" t="n">
        <v>89</v>
      </c>
      <c r="C112" s="27" t="s">
        <v>185</v>
      </c>
      <c r="D112" s="27" t="s">
        <v>186</v>
      </c>
      <c r="E112" s="28" t="s">
        <v>187</v>
      </c>
      <c r="F112" s="27" t="s">
        <v>188</v>
      </c>
      <c r="G112" s="42" t="s">
        <v>52</v>
      </c>
      <c r="H112" s="63" t="n">
        <v>44.9</v>
      </c>
      <c r="I112" s="30" t="n">
        <v>9.43</v>
      </c>
      <c r="J112" s="66" t="s">
        <v>180</v>
      </c>
      <c r="K112" s="44" t="s">
        <v>147</v>
      </c>
      <c r="L112" s="30" t="n">
        <v>54.33</v>
      </c>
      <c r="M112" s="45" t="n">
        <f aca="false">L112-O112</f>
        <v>54.33</v>
      </c>
      <c r="N112" s="46"/>
      <c r="O112" s="46"/>
      <c r="P112" s="47" t="n">
        <v>45667</v>
      </c>
      <c r="Q112" s="68" t="n">
        <v>45671</v>
      </c>
      <c r="R112" s="2"/>
      <c r="S112" s="3"/>
      <c r="T112" s="3"/>
      <c r="U112" s="3"/>
      <c r="V112" s="3"/>
      <c r="W112" s="3"/>
      <c r="X112" s="3"/>
      <c r="Y112" s="3"/>
      <c r="Z112" s="3"/>
    </row>
    <row r="113" customFormat="false" ht="15.75" hidden="false" customHeight="true" outlineLevel="0" collapsed="false">
      <c r="A113" s="3"/>
      <c r="B113" s="41" t="n">
        <v>90</v>
      </c>
      <c r="C113" s="27" t="s">
        <v>185</v>
      </c>
      <c r="D113" s="27" t="s">
        <v>186</v>
      </c>
      <c r="E113" s="28" t="s">
        <v>189</v>
      </c>
      <c r="F113" s="27" t="s">
        <v>188</v>
      </c>
      <c r="G113" s="42" t="s">
        <v>52</v>
      </c>
      <c r="H113" s="63" t="n">
        <v>34.9</v>
      </c>
      <c r="I113" s="30" t="n">
        <v>7.33</v>
      </c>
      <c r="J113" s="66" t="s">
        <v>180</v>
      </c>
      <c r="K113" s="44" t="s">
        <v>147</v>
      </c>
      <c r="L113" s="30" t="n">
        <v>42.23</v>
      </c>
      <c r="M113" s="45" t="n">
        <f aca="false">L113-O113</f>
        <v>42.23</v>
      </c>
      <c r="N113" s="42"/>
      <c r="O113" s="42"/>
      <c r="P113" s="47" t="n">
        <v>45698</v>
      </c>
      <c r="Q113" s="68" t="n">
        <v>45702</v>
      </c>
      <c r="R113" s="2"/>
      <c r="S113" s="3"/>
      <c r="T113" s="3"/>
      <c r="U113" s="3"/>
      <c r="V113" s="3"/>
      <c r="W113" s="3"/>
      <c r="X113" s="3"/>
      <c r="Y113" s="3"/>
      <c r="Z113" s="3"/>
    </row>
    <row r="114" customFormat="false" ht="15.75" hidden="false" customHeight="true" outlineLevel="0" collapsed="false">
      <c r="A114" s="3"/>
      <c r="B114" s="41" t="n">
        <v>91</v>
      </c>
      <c r="C114" s="27" t="s">
        <v>185</v>
      </c>
      <c r="D114" s="27" t="s">
        <v>186</v>
      </c>
      <c r="E114" s="28" t="s">
        <v>190</v>
      </c>
      <c r="F114" s="27" t="s">
        <v>188</v>
      </c>
      <c r="G114" s="42" t="s">
        <v>52</v>
      </c>
      <c r="H114" s="63" t="n">
        <v>34.9</v>
      </c>
      <c r="I114" s="30" t="n">
        <v>7.33</v>
      </c>
      <c r="J114" s="66" t="s">
        <v>180</v>
      </c>
      <c r="K114" s="44" t="s">
        <v>147</v>
      </c>
      <c r="L114" s="30" t="n">
        <v>42.23</v>
      </c>
      <c r="M114" s="45" t="n">
        <f aca="false">L114-O114</f>
        <v>42.23</v>
      </c>
      <c r="N114" s="46"/>
      <c r="O114" s="46"/>
      <c r="P114" s="47" t="n">
        <v>45726</v>
      </c>
      <c r="Q114" s="70" t="n">
        <v>45730</v>
      </c>
      <c r="R114" s="2"/>
      <c r="S114" s="3"/>
      <c r="T114" s="3"/>
      <c r="U114" s="3"/>
      <c r="V114" s="3"/>
      <c r="W114" s="3"/>
      <c r="X114" s="3"/>
      <c r="Y114" s="3"/>
      <c r="Z114" s="3"/>
    </row>
    <row r="115" customFormat="false" ht="15.75" hidden="false" customHeight="true" outlineLevel="0" collapsed="false">
      <c r="A115" s="3"/>
      <c r="B115" s="41" t="n">
        <v>92</v>
      </c>
      <c r="C115" s="27" t="s">
        <v>185</v>
      </c>
      <c r="D115" s="27" t="s">
        <v>186</v>
      </c>
      <c r="E115" s="28" t="s">
        <v>191</v>
      </c>
      <c r="F115" s="27" t="s">
        <v>188</v>
      </c>
      <c r="G115" s="42" t="s">
        <v>52</v>
      </c>
      <c r="H115" s="63" t="n">
        <v>36.9</v>
      </c>
      <c r="I115" s="30" t="n">
        <v>7.75</v>
      </c>
      <c r="J115" s="66" t="s">
        <v>180</v>
      </c>
      <c r="K115" s="44" t="s">
        <v>147</v>
      </c>
      <c r="L115" s="30" t="n">
        <v>44.65</v>
      </c>
      <c r="M115" s="45" t="n">
        <f aca="false">L115-O115</f>
        <v>44.65</v>
      </c>
      <c r="N115" s="46"/>
      <c r="O115" s="46"/>
      <c r="P115" s="47" t="n">
        <v>45757</v>
      </c>
      <c r="Q115" s="68" t="n">
        <v>45762</v>
      </c>
      <c r="R115" s="2"/>
      <c r="S115" s="3"/>
      <c r="T115" s="3"/>
      <c r="U115" s="3"/>
      <c r="V115" s="3"/>
      <c r="W115" s="3"/>
      <c r="X115" s="3"/>
      <c r="Y115" s="3"/>
      <c r="Z115" s="3"/>
    </row>
    <row r="116" customFormat="false" ht="15.75" hidden="false" customHeight="true" outlineLevel="0" collapsed="false">
      <c r="A116" s="3"/>
      <c r="B116" s="41" t="n">
        <v>93</v>
      </c>
      <c r="C116" s="27" t="s">
        <v>185</v>
      </c>
      <c r="D116" s="27" t="s">
        <v>186</v>
      </c>
      <c r="E116" s="28" t="s">
        <v>192</v>
      </c>
      <c r="F116" s="27" t="s">
        <v>188</v>
      </c>
      <c r="G116" s="42" t="s">
        <v>52</v>
      </c>
      <c r="H116" s="63" t="n">
        <v>36.9</v>
      </c>
      <c r="I116" s="30" t="n">
        <v>7.75</v>
      </c>
      <c r="J116" s="66" t="s">
        <v>180</v>
      </c>
      <c r="K116" s="44" t="s">
        <v>147</v>
      </c>
      <c r="L116" s="30" t="n">
        <v>44.65</v>
      </c>
      <c r="M116" s="45" t="n">
        <f aca="false">L116-O116</f>
        <v>44.65</v>
      </c>
      <c r="N116" s="46"/>
      <c r="O116" s="46"/>
      <c r="P116" s="47" t="n">
        <v>45787</v>
      </c>
      <c r="Q116" s="68" t="n">
        <v>45792</v>
      </c>
      <c r="R116" s="2"/>
      <c r="S116" s="3"/>
      <c r="T116" s="3"/>
      <c r="U116" s="3"/>
      <c r="V116" s="3"/>
      <c r="W116" s="3"/>
      <c r="X116" s="3"/>
      <c r="Y116" s="3"/>
      <c r="Z116" s="3"/>
    </row>
    <row r="117" customFormat="false" ht="15.75" hidden="false" customHeight="true" outlineLevel="0" collapsed="false">
      <c r="A117" s="3"/>
      <c r="B117" s="41" t="n">
        <v>94</v>
      </c>
      <c r="C117" s="27" t="s">
        <v>185</v>
      </c>
      <c r="D117" s="27" t="s">
        <v>186</v>
      </c>
      <c r="E117" s="28" t="s">
        <v>193</v>
      </c>
      <c r="F117" s="27" t="s">
        <v>188</v>
      </c>
      <c r="G117" s="42" t="s">
        <v>52</v>
      </c>
      <c r="H117" s="63" t="n">
        <v>36.9</v>
      </c>
      <c r="I117" s="30" t="n">
        <v>7.75</v>
      </c>
      <c r="J117" s="66" t="s">
        <v>180</v>
      </c>
      <c r="K117" s="44" t="s">
        <v>147</v>
      </c>
      <c r="L117" s="30" t="n">
        <v>44.65</v>
      </c>
      <c r="M117" s="45" t="n">
        <f aca="false">L117-O117</f>
        <v>44.65</v>
      </c>
      <c r="N117" s="46"/>
      <c r="O117" s="46"/>
      <c r="P117" s="47" t="n">
        <v>45818</v>
      </c>
      <c r="Q117" s="68" t="n">
        <v>45824</v>
      </c>
      <c r="R117" s="2"/>
      <c r="S117" s="3"/>
      <c r="T117" s="3"/>
      <c r="U117" s="3"/>
      <c r="V117" s="3"/>
      <c r="W117" s="3"/>
      <c r="X117" s="3"/>
      <c r="Y117" s="3"/>
      <c r="Z117" s="3"/>
    </row>
    <row r="118" customFormat="false" ht="15.75" hidden="false" customHeight="true" outlineLevel="0" collapsed="false">
      <c r="A118" s="3"/>
      <c r="B118" s="41" t="n">
        <v>95</v>
      </c>
      <c r="C118" s="27" t="s">
        <v>185</v>
      </c>
      <c r="D118" s="27" t="s">
        <v>186</v>
      </c>
      <c r="E118" s="28" t="s">
        <v>194</v>
      </c>
      <c r="F118" s="27" t="s">
        <v>188</v>
      </c>
      <c r="G118" s="42" t="s">
        <v>52</v>
      </c>
      <c r="H118" s="63" t="n">
        <v>36.9</v>
      </c>
      <c r="I118" s="30" t="n">
        <v>7.75</v>
      </c>
      <c r="J118" s="66" t="s">
        <v>180</v>
      </c>
      <c r="K118" s="44" t="s">
        <v>147</v>
      </c>
      <c r="L118" s="30" t="n">
        <v>44.65</v>
      </c>
      <c r="M118" s="45" t="n">
        <f aca="false">L118-O118</f>
        <v>44.65</v>
      </c>
      <c r="N118" s="46"/>
      <c r="O118" s="46"/>
      <c r="P118" s="47" t="n">
        <v>45848</v>
      </c>
      <c r="Q118" s="68" t="n">
        <v>45853</v>
      </c>
      <c r="R118" s="2"/>
      <c r="S118" s="3"/>
      <c r="T118" s="3"/>
      <c r="U118" s="3"/>
      <c r="V118" s="3"/>
      <c r="W118" s="3"/>
      <c r="X118" s="3"/>
      <c r="Y118" s="3"/>
      <c r="Z118" s="3"/>
    </row>
    <row r="119" customFormat="false" ht="15.75" hidden="false" customHeight="true" outlineLevel="0" collapsed="false">
      <c r="A119" s="3"/>
      <c r="B119" s="41" t="n">
        <v>96</v>
      </c>
      <c r="C119" s="27" t="s">
        <v>185</v>
      </c>
      <c r="D119" s="27" t="s">
        <v>186</v>
      </c>
      <c r="E119" s="28" t="s">
        <v>195</v>
      </c>
      <c r="F119" s="27" t="s">
        <v>188</v>
      </c>
      <c r="G119" s="42" t="s">
        <v>52</v>
      </c>
      <c r="H119" s="63" t="n">
        <v>36.9</v>
      </c>
      <c r="I119" s="30" t="n">
        <v>7.75</v>
      </c>
      <c r="J119" s="66" t="s">
        <v>180</v>
      </c>
      <c r="K119" s="44" t="s">
        <v>147</v>
      </c>
      <c r="L119" s="30" t="n">
        <v>44.65</v>
      </c>
      <c r="M119" s="45" t="n">
        <f aca="false">L119-O119</f>
        <v>44.65</v>
      </c>
      <c r="N119" s="46"/>
      <c r="O119" s="46"/>
      <c r="P119" s="47" t="n">
        <v>45879</v>
      </c>
      <c r="Q119" s="68" t="n">
        <v>45883</v>
      </c>
      <c r="R119" s="2"/>
      <c r="S119" s="3"/>
      <c r="T119" s="3"/>
      <c r="U119" s="3"/>
      <c r="V119" s="3"/>
      <c r="W119" s="3"/>
      <c r="X119" s="3"/>
      <c r="Y119" s="3"/>
      <c r="Z119" s="3"/>
    </row>
    <row r="120" customFormat="false" ht="15.75" hidden="false" customHeight="true" outlineLevel="0" collapsed="false">
      <c r="A120" s="3"/>
      <c r="B120" s="41" t="n">
        <v>97</v>
      </c>
      <c r="C120" s="27" t="s">
        <v>185</v>
      </c>
      <c r="D120" s="27" t="s">
        <v>186</v>
      </c>
      <c r="E120" s="28" t="s">
        <v>196</v>
      </c>
      <c r="F120" s="27" t="s">
        <v>188</v>
      </c>
      <c r="G120" s="42" t="s">
        <v>52</v>
      </c>
      <c r="H120" s="63" t="n">
        <v>36.9</v>
      </c>
      <c r="I120" s="30" t="n">
        <v>7.75</v>
      </c>
      <c r="J120" s="66" t="s">
        <v>180</v>
      </c>
      <c r="K120" s="44" t="s">
        <v>147</v>
      </c>
      <c r="L120" s="30" t="n">
        <v>44.65</v>
      </c>
      <c r="M120" s="45" t="n">
        <f aca="false">L120-O120</f>
        <v>44.65</v>
      </c>
      <c r="N120" s="46"/>
      <c r="O120" s="46"/>
      <c r="P120" s="47" t="n">
        <v>45910</v>
      </c>
      <c r="Q120" s="68" t="n">
        <v>45916</v>
      </c>
      <c r="R120" s="2"/>
      <c r="S120" s="3"/>
      <c r="T120" s="3"/>
      <c r="U120" s="3"/>
      <c r="V120" s="3"/>
      <c r="W120" s="3"/>
      <c r="X120" s="3"/>
      <c r="Y120" s="3"/>
      <c r="Z120" s="3"/>
    </row>
    <row r="121" customFormat="false" ht="15.75" hidden="false" customHeight="true" outlineLevel="0" collapsed="false">
      <c r="A121" s="3"/>
      <c r="B121" s="41" t="n">
        <v>98</v>
      </c>
      <c r="C121" s="27" t="s">
        <v>185</v>
      </c>
      <c r="D121" s="27" t="s">
        <v>186</v>
      </c>
      <c r="E121" s="28" t="s">
        <v>197</v>
      </c>
      <c r="F121" s="27" t="s">
        <v>188</v>
      </c>
      <c r="G121" s="42" t="s">
        <v>52</v>
      </c>
      <c r="H121" s="63" t="n">
        <v>36.9</v>
      </c>
      <c r="I121" s="30" t="n">
        <v>7.75</v>
      </c>
      <c r="J121" s="66" t="s">
        <v>180</v>
      </c>
      <c r="K121" s="44" t="s">
        <v>147</v>
      </c>
      <c r="L121" s="30" t="n">
        <v>44.65</v>
      </c>
      <c r="M121" s="45" t="n">
        <f aca="false">L121-O121</f>
        <v>44.65</v>
      </c>
      <c r="N121" s="46"/>
      <c r="O121" s="46"/>
      <c r="P121" s="47" t="n">
        <v>45940</v>
      </c>
      <c r="Q121" s="68" t="n">
        <v>45916</v>
      </c>
      <c r="R121" s="2"/>
      <c r="S121" s="3"/>
      <c r="T121" s="3"/>
      <c r="U121" s="3"/>
      <c r="V121" s="3"/>
      <c r="W121" s="3"/>
      <c r="X121" s="3"/>
      <c r="Y121" s="3"/>
      <c r="Z121" s="3"/>
    </row>
    <row r="122" customFormat="false" ht="15.75" hidden="false" customHeight="true" outlineLevel="0" collapsed="false">
      <c r="A122" s="3"/>
      <c r="B122" s="41" t="n">
        <v>99</v>
      </c>
      <c r="C122" s="27" t="s">
        <v>185</v>
      </c>
      <c r="D122" s="27" t="s">
        <v>186</v>
      </c>
      <c r="E122" s="28" t="s">
        <v>198</v>
      </c>
      <c r="F122" s="27" t="s">
        <v>188</v>
      </c>
      <c r="G122" s="42" t="s">
        <v>52</v>
      </c>
      <c r="H122" s="63" t="n">
        <v>6</v>
      </c>
      <c r="I122" s="30" t="n">
        <v>1.26</v>
      </c>
      <c r="J122" s="66" t="s">
        <v>180</v>
      </c>
      <c r="K122" s="44" t="s">
        <v>147</v>
      </c>
      <c r="L122" s="30" t="n">
        <v>7.26</v>
      </c>
      <c r="M122" s="45" t="n">
        <f aca="false">L122-O122</f>
        <v>7.26</v>
      </c>
      <c r="N122" s="46"/>
      <c r="O122" s="46"/>
      <c r="P122" s="47" t="n">
        <v>45961</v>
      </c>
      <c r="Q122" s="68" t="n">
        <v>45966</v>
      </c>
      <c r="R122" s="2"/>
      <c r="S122" s="3"/>
      <c r="T122" s="3"/>
      <c r="U122" s="3"/>
      <c r="V122" s="3"/>
      <c r="W122" s="3"/>
      <c r="X122" s="3"/>
      <c r="Y122" s="3"/>
      <c r="Z122" s="3"/>
    </row>
    <row r="123" customFormat="false" ht="15.75" hidden="false" customHeight="true" outlineLevel="0" collapsed="false">
      <c r="A123" s="3"/>
      <c r="B123" s="41" t="n">
        <v>100</v>
      </c>
      <c r="C123" s="27" t="s">
        <v>185</v>
      </c>
      <c r="D123" s="27" t="s">
        <v>186</v>
      </c>
      <c r="E123" s="28" t="s">
        <v>199</v>
      </c>
      <c r="F123" s="27" t="s">
        <v>188</v>
      </c>
      <c r="G123" s="42" t="s">
        <v>52</v>
      </c>
      <c r="H123" s="63" t="n">
        <v>36.9</v>
      </c>
      <c r="I123" s="30" t="n">
        <v>7.75</v>
      </c>
      <c r="J123" s="66" t="s">
        <v>180</v>
      </c>
      <c r="K123" s="44" t="s">
        <v>147</v>
      </c>
      <c r="L123" s="30" t="n">
        <v>44.65</v>
      </c>
      <c r="M123" s="45" t="n">
        <f aca="false">L123-O123</f>
        <v>44.65</v>
      </c>
      <c r="N123" s="46"/>
      <c r="O123" s="46"/>
      <c r="P123" s="47" t="n">
        <v>45971</v>
      </c>
      <c r="Q123" s="68" t="n">
        <v>45975</v>
      </c>
      <c r="R123" s="2"/>
      <c r="S123" s="3"/>
      <c r="T123" s="3"/>
      <c r="U123" s="3"/>
      <c r="V123" s="3"/>
      <c r="W123" s="3"/>
      <c r="X123" s="3"/>
      <c r="Y123" s="3"/>
      <c r="Z123" s="3"/>
    </row>
    <row r="124" customFormat="false" ht="15.75" hidden="false" customHeight="true" outlineLevel="0" collapsed="false">
      <c r="A124" s="3"/>
      <c r="B124" s="41" t="n">
        <v>101</v>
      </c>
      <c r="C124" s="27" t="s">
        <v>185</v>
      </c>
      <c r="D124" s="27" t="s">
        <v>186</v>
      </c>
      <c r="E124" s="28" t="s">
        <v>200</v>
      </c>
      <c r="F124" s="27" t="s">
        <v>188</v>
      </c>
      <c r="G124" s="42" t="s">
        <v>52</v>
      </c>
      <c r="H124" s="63" t="n">
        <v>6</v>
      </c>
      <c r="I124" s="30" t="n">
        <v>1.26</v>
      </c>
      <c r="J124" s="66" t="s">
        <v>180</v>
      </c>
      <c r="K124" s="44" t="s">
        <v>147</v>
      </c>
      <c r="L124" s="30" t="n">
        <v>7.26</v>
      </c>
      <c r="M124" s="45" t="n">
        <f aca="false">L124-O124</f>
        <v>7.26</v>
      </c>
      <c r="N124" s="46"/>
      <c r="O124" s="46"/>
      <c r="P124" s="71" t="n">
        <v>46022</v>
      </c>
      <c r="Q124" s="72" t="n">
        <v>46028</v>
      </c>
      <c r="R124" s="2"/>
      <c r="S124" s="3"/>
      <c r="T124" s="3"/>
      <c r="U124" s="3"/>
      <c r="V124" s="3"/>
      <c r="W124" s="3"/>
      <c r="X124" s="3"/>
      <c r="Y124" s="3"/>
      <c r="Z124" s="3"/>
    </row>
    <row r="125" customFormat="false" ht="15.75" hidden="false" customHeight="true" outlineLevel="0" collapsed="false">
      <c r="A125" s="3"/>
      <c r="B125" s="41" t="n">
        <v>102</v>
      </c>
      <c r="C125" s="27" t="s">
        <v>201</v>
      </c>
      <c r="D125" s="27" t="s">
        <v>202</v>
      </c>
      <c r="E125" s="28" t="s">
        <v>203</v>
      </c>
      <c r="F125" s="73" t="s">
        <v>204</v>
      </c>
      <c r="G125" s="42" t="s">
        <v>52</v>
      </c>
      <c r="H125" s="63" t="n">
        <v>100</v>
      </c>
      <c r="I125" s="30" t="n">
        <v>21</v>
      </c>
      <c r="J125" s="66" t="s">
        <v>180</v>
      </c>
      <c r="K125" s="44" t="s">
        <v>147</v>
      </c>
      <c r="L125" s="30" t="n">
        <v>121</v>
      </c>
      <c r="M125" s="45" t="n">
        <f aca="false">L125-O125</f>
        <v>121</v>
      </c>
      <c r="N125" s="46"/>
      <c r="O125" s="46"/>
      <c r="P125" s="47" t="n">
        <v>45687</v>
      </c>
      <c r="Q125" s="70" t="n">
        <v>45698</v>
      </c>
      <c r="R125" s="2"/>
      <c r="S125" s="3"/>
      <c r="T125" s="3"/>
      <c r="U125" s="3"/>
      <c r="V125" s="3"/>
      <c r="W125" s="3"/>
      <c r="X125" s="3"/>
      <c r="Y125" s="3"/>
      <c r="Z125" s="3"/>
    </row>
    <row r="126" customFormat="false" ht="15.75" hidden="false" customHeight="true" outlineLevel="0" collapsed="false">
      <c r="A126" s="3"/>
      <c r="B126" s="41" t="n">
        <v>103</v>
      </c>
      <c r="C126" s="27" t="s">
        <v>201</v>
      </c>
      <c r="D126" s="27" t="s">
        <v>202</v>
      </c>
      <c r="E126" s="28" t="s">
        <v>205</v>
      </c>
      <c r="F126" s="73" t="s">
        <v>204</v>
      </c>
      <c r="G126" s="42" t="s">
        <v>52</v>
      </c>
      <c r="H126" s="63" t="n">
        <v>100</v>
      </c>
      <c r="I126" s="30" t="n">
        <v>21</v>
      </c>
      <c r="J126" s="66" t="s">
        <v>180</v>
      </c>
      <c r="K126" s="44" t="s">
        <v>147</v>
      </c>
      <c r="L126" s="30" t="n">
        <v>121</v>
      </c>
      <c r="M126" s="45" t="n">
        <f aca="false">L126-O126</f>
        <v>121</v>
      </c>
      <c r="N126" s="46"/>
      <c r="O126" s="46"/>
      <c r="P126" s="47" t="n">
        <v>45728</v>
      </c>
      <c r="Q126" s="68" t="n">
        <v>45733</v>
      </c>
      <c r="R126" s="2"/>
      <c r="S126" s="3"/>
      <c r="T126" s="3"/>
      <c r="U126" s="3"/>
      <c r="V126" s="3"/>
      <c r="W126" s="3"/>
      <c r="X126" s="3"/>
      <c r="Y126" s="3"/>
      <c r="Z126" s="3"/>
    </row>
    <row r="127" customFormat="false" ht="15.75" hidden="false" customHeight="true" outlineLevel="0" collapsed="false">
      <c r="A127" s="3"/>
      <c r="B127" s="41" t="n">
        <v>104</v>
      </c>
      <c r="C127" s="27" t="s">
        <v>201</v>
      </c>
      <c r="D127" s="27" t="s">
        <v>202</v>
      </c>
      <c r="E127" s="28" t="s">
        <v>206</v>
      </c>
      <c r="F127" s="27" t="s">
        <v>204</v>
      </c>
      <c r="G127" s="42" t="s">
        <v>52</v>
      </c>
      <c r="H127" s="63" t="n">
        <v>100</v>
      </c>
      <c r="I127" s="30" t="n">
        <v>21</v>
      </c>
      <c r="J127" s="66" t="s">
        <v>180</v>
      </c>
      <c r="K127" s="44" t="s">
        <v>147</v>
      </c>
      <c r="L127" s="30" t="n">
        <v>121</v>
      </c>
      <c r="M127" s="45" t="n">
        <f aca="false">L127-O127</f>
        <v>121</v>
      </c>
      <c r="N127" s="46"/>
      <c r="O127" s="46"/>
      <c r="P127" s="47" t="n">
        <v>45728</v>
      </c>
      <c r="Q127" s="68" t="n">
        <v>45733</v>
      </c>
      <c r="R127" s="2"/>
      <c r="S127" s="3"/>
      <c r="T127" s="3"/>
      <c r="U127" s="3"/>
      <c r="V127" s="3"/>
      <c r="W127" s="3"/>
      <c r="X127" s="3"/>
      <c r="Y127" s="3"/>
      <c r="Z127" s="3"/>
    </row>
    <row r="128" customFormat="false" ht="15.75" hidden="false" customHeight="true" outlineLevel="0" collapsed="false">
      <c r="A128" s="3"/>
      <c r="B128" s="41" t="n">
        <v>105</v>
      </c>
      <c r="C128" s="27" t="s">
        <v>201</v>
      </c>
      <c r="D128" s="27" t="s">
        <v>202</v>
      </c>
      <c r="E128" s="28" t="s">
        <v>207</v>
      </c>
      <c r="F128" s="27" t="s">
        <v>204</v>
      </c>
      <c r="G128" s="42" t="s">
        <v>52</v>
      </c>
      <c r="H128" s="63" t="n">
        <v>100</v>
      </c>
      <c r="I128" s="30" t="n">
        <v>21</v>
      </c>
      <c r="J128" s="66" t="s">
        <v>180</v>
      </c>
      <c r="K128" s="44" t="s">
        <v>147</v>
      </c>
      <c r="L128" s="30" t="n">
        <v>121</v>
      </c>
      <c r="M128" s="45" t="n">
        <f aca="false">L128-O128</f>
        <v>121</v>
      </c>
      <c r="N128" s="46"/>
      <c r="O128" s="46"/>
      <c r="P128" s="47" t="n">
        <v>45762</v>
      </c>
      <c r="Q128" s="68" t="n">
        <v>45763</v>
      </c>
      <c r="R128" s="2"/>
      <c r="S128" s="3"/>
      <c r="T128" s="3"/>
      <c r="U128" s="3"/>
      <c r="V128" s="3"/>
      <c r="W128" s="3"/>
      <c r="X128" s="3"/>
      <c r="Y128" s="3"/>
      <c r="Z128" s="3"/>
    </row>
    <row r="129" customFormat="false" ht="15.75" hidden="false" customHeight="true" outlineLevel="0" collapsed="false">
      <c r="A129" s="3"/>
      <c r="B129" s="41" t="n">
        <v>106</v>
      </c>
      <c r="C129" s="27" t="s">
        <v>201</v>
      </c>
      <c r="D129" s="27" t="s">
        <v>202</v>
      </c>
      <c r="E129" s="28" t="s">
        <v>208</v>
      </c>
      <c r="F129" s="27" t="s">
        <v>204</v>
      </c>
      <c r="G129" s="42" t="s">
        <v>52</v>
      </c>
      <c r="H129" s="63" t="n">
        <v>100</v>
      </c>
      <c r="I129" s="30" t="n">
        <v>21</v>
      </c>
      <c r="J129" s="66" t="s">
        <v>180</v>
      </c>
      <c r="K129" s="44" t="s">
        <v>147</v>
      </c>
      <c r="L129" s="30" t="n">
        <v>121</v>
      </c>
      <c r="M129" s="45" t="n">
        <f aca="false">L129-O129</f>
        <v>121</v>
      </c>
      <c r="N129" s="46"/>
      <c r="O129" s="46"/>
      <c r="P129" s="47" t="n">
        <v>45797</v>
      </c>
      <c r="Q129" s="68" t="n">
        <v>45805</v>
      </c>
      <c r="R129" s="2"/>
      <c r="S129" s="3"/>
      <c r="T129" s="3"/>
      <c r="U129" s="3"/>
      <c r="V129" s="3"/>
      <c r="W129" s="3"/>
      <c r="X129" s="3"/>
      <c r="Y129" s="3"/>
      <c r="Z129" s="3"/>
    </row>
    <row r="130" customFormat="false" ht="15.75" hidden="false" customHeight="true" outlineLevel="0" collapsed="false">
      <c r="A130" s="3"/>
      <c r="B130" s="41" t="n">
        <v>107</v>
      </c>
      <c r="C130" s="27" t="s">
        <v>201</v>
      </c>
      <c r="D130" s="27" t="s">
        <v>202</v>
      </c>
      <c r="E130" s="28" t="s">
        <v>209</v>
      </c>
      <c r="F130" s="27" t="s">
        <v>204</v>
      </c>
      <c r="G130" s="42" t="s">
        <v>52</v>
      </c>
      <c r="H130" s="63" t="n">
        <v>100</v>
      </c>
      <c r="I130" s="30" t="n">
        <v>21</v>
      </c>
      <c r="J130" s="66" t="s">
        <v>180</v>
      </c>
      <c r="K130" s="44" t="s">
        <v>147</v>
      </c>
      <c r="L130" s="30" t="n">
        <v>121</v>
      </c>
      <c r="M130" s="45" t="n">
        <f aca="false">L130-O130</f>
        <v>121</v>
      </c>
      <c r="N130" s="46"/>
      <c r="O130" s="46"/>
      <c r="P130" s="47" t="n">
        <v>45824</v>
      </c>
      <c r="Q130" s="68" t="n">
        <v>45826</v>
      </c>
      <c r="R130" s="2"/>
      <c r="S130" s="3"/>
      <c r="T130" s="3"/>
      <c r="U130" s="3"/>
      <c r="V130" s="3"/>
      <c r="W130" s="3"/>
      <c r="X130" s="3"/>
      <c r="Y130" s="3"/>
      <c r="Z130" s="3"/>
    </row>
    <row r="131" customFormat="false" ht="15.75" hidden="false" customHeight="true" outlineLevel="0" collapsed="false">
      <c r="A131" s="3"/>
      <c r="B131" s="41" t="n">
        <v>108</v>
      </c>
      <c r="C131" s="27" t="s">
        <v>201</v>
      </c>
      <c r="D131" s="27" t="s">
        <v>202</v>
      </c>
      <c r="E131" s="28" t="s">
        <v>210</v>
      </c>
      <c r="F131" s="27" t="s">
        <v>204</v>
      </c>
      <c r="G131" s="42" t="s">
        <v>52</v>
      </c>
      <c r="H131" s="63" t="n">
        <v>100</v>
      </c>
      <c r="I131" s="30" t="n">
        <v>21</v>
      </c>
      <c r="J131" s="66" t="s">
        <v>180</v>
      </c>
      <c r="K131" s="44" t="s">
        <v>147</v>
      </c>
      <c r="L131" s="30" t="n">
        <v>121</v>
      </c>
      <c r="M131" s="45" t="n">
        <f aca="false">L131-O131</f>
        <v>121</v>
      </c>
      <c r="N131" s="46"/>
      <c r="O131" s="46"/>
      <c r="P131" s="47" t="n">
        <v>45894</v>
      </c>
      <c r="Q131" s="68" t="n">
        <v>45909</v>
      </c>
      <c r="R131" s="2"/>
      <c r="S131" s="3"/>
      <c r="T131" s="3"/>
      <c r="U131" s="3"/>
      <c r="V131" s="3"/>
      <c r="W131" s="3"/>
      <c r="X131" s="3"/>
      <c r="Y131" s="3"/>
      <c r="Z131" s="3"/>
    </row>
    <row r="132" customFormat="false" ht="15.75" hidden="false" customHeight="true" outlineLevel="0" collapsed="false">
      <c r="A132" s="3"/>
      <c r="B132" s="41" t="n">
        <v>109</v>
      </c>
      <c r="C132" s="27" t="s">
        <v>201</v>
      </c>
      <c r="D132" s="27" t="s">
        <v>202</v>
      </c>
      <c r="E132" s="28" t="s">
        <v>211</v>
      </c>
      <c r="F132" s="27" t="s">
        <v>204</v>
      </c>
      <c r="G132" s="42" t="s">
        <v>52</v>
      </c>
      <c r="H132" s="63" t="n">
        <v>100</v>
      </c>
      <c r="I132" s="30" t="n">
        <v>21</v>
      </c>
      <c r="J132" s="66" t="s">
        <v>180</v>
      </c>
      <c r="K132" s="44" t="s">
        <v>147</v>
      </c>
      <c r="L132" s="30" t="n">
        <v>121</v>
      </c>
      <c r="M132" s="45" t="n">
        <f aca="false">L132-O132</f>
        <v>121</v>
      </c>
      <c r="N132" s="46"/>
      <c r="O132" s="46"/>
      <c r="P132" s="47" t="n">
        <v>45894</v>
      </c>
      <c r="Q132" s="68" t="n">
        <v>45909</v>
      </c>
      <c r="R132" s="2"/>
      <c r="S132" s="3"/>
      <c r="T132" s="3"/>
      <c r="U132" s="3"/>
      <c r="V132" s="3"/>
      <c r="W132" s="3"/>
      <c r="X132" s="3"/>
      <c r="Y132" s="3"/>
      <c r="Z132" s="3"/>
    </row>
    <row r="133" customFormat="false" ht="15.75" hidden="false" customHeight="true" outlineLevel="0" collapsed="false">
      <c r="A133" s="3"/>
      <c r="B133" s="41" t="n">
        <v>110</v>
      </c>
      <c r="C133" s="27" t="s">
        <v>201</v>
      </c>
      <c r="D133" s="27" t="s">
        <v>202</v>
      </c>
      <c r="E133" s="28" t="s">
        <v>212</v>
      </c>
      <c r="F133" s="27" t="s">
        <v>204</v>
      </c>
      <c r="G133" s="42" t="s">
        <v>52</v>
      </c>
      <c r="H133" s="63" t="n">
        <v>100</v>
      </c>
      <c r="I133" s="30" t="n">
        <v>21</v>
      </c>
      <c r="J133" s="66" t="s">
        <v>180</v>
      </c>
      <c r="K133" s="44" t="s">
        <v>147</v>
      </c>
      <c r="L133" s="30" t="n">
        <v>121</v>
      </c>
      <c r="M133" s="45" t="n">
        <f aca="false">L133-O133</f>
        <v>121</v>
      </c>
      <c r="N133" s="46"/>
      <c r="O133" s="46"/>
      <c r="P133" s="47" t="n">
        <v>45912</v>
      </c>
      <c r="Q133" s="68" t="n">
        <v>45919</v>
      </c>
      <c r="R133" s="2"/>
      <c r="S133" s="3"/>
      <c r="T133" s="3"/>
      <c r="U133" s="3"/>
      <c r="V133" s="3"/>
      <c r="W133" s="3"/>
      <c r="X133" s="3"/>
      <c r="Y133" s="3"/>
      <c r="Z133" s="3"/>
    </row>
    <row r="134" customFormat="false" ht="15.75" hidden="false" customHeight="true" outlineLevel="0" collapsed="false">
      <c r="A134" s="3"/>
      <c r="B134" s="41" t="n">
        <v>111</v>
      </c>
      <c r="C134" s="27" t="s">
        <v>213</v>
      </c>
      <c r="D134" s="27" t="s">
        <v>214</v>
      </c>
      <c r="E134" s="27" t="s">
        <v>215</v>
      </c>
      <c r="F134" s="27" t="s">
        <v>216</v>
      </c>
      <c r="G134" s="42" t="s">
        <v>52</v>
      </c>
      <c r="H134" s="63" t="n">
        <v>253.92</v>
      </c>
      <c r="I134" s="30" t="n">
        <v>53.32</v>
      </c>
      <c r="J134" s="66" t="s">
        <v>180</v>
      </c>
      <c r="K134" s="44" t="s">
        <v>147</v>
      </c>
      <c r="L134" s="30" t="n">
        <v>307.24</v>
      </c>
      <c r="M134" s="45" t="n">
        <f aca="false">L134-O134</f>
        <v>307.24</v>
      </c>
      <c r="N134" s="46"/>
      <c r="O134" s="46"/>
      <c r="P134" s="47" t="n">
        <v>45688</v>
      </c>
      <c r="Q134" s="68" t="n">
        <v>45706</v>
      </c>
      <c r="R134" s="2"/>
      <c r="S134" s="3"/>
      <c r="T134" s="3"/>
      <c r="U134" s="3"/>
      <c r="V134" s="3"/>
      <c r="W134" s="3"/>
      <c r="X134" s="3"/>
      <c r="Y134" s="3"/>
      <c r="Z134" s="3"/>
    </row>
    <row r="135" customFormat="false" ht="15.75" hidden="false" customHeight="true" outlineLevel="0" collapsed="false">
      <c r="A135" s="3"/>
      <c r="B135" s="41" t="n">
        <v>112</v>
      </c>
      <c r="C135" s="27" t="s">
        <v>213</v>
      </c>
      <c r="D135" s="27" t="s">
        <v>214</v>
      </c>
      <c r="E135" s="27" t="s">
        <v>217</v>
      </c>
      <c r="F135" s="27" t="s">
        <v>216</v>
      </c>
      <c r="G135" s="42" t="s">
        <v>52</v>
      </c>
      <c r="H135" s="63" t="n">
        <v>253.92</v>
      </c>
      <c r="I135" s="30" t="n">
        <v>53.32</v>
      </c>
      <c r="J135" s="66" t="s">
        <v>180</v>
      </c>
      <c r="K135" s="44" t="s">
        <v>147</v>
      </c>
      <c r="L135" s="30" t="n">
        <v>307.24</v>
      </c>
      <c r="M135" s="45" t="n">
        <f aca="false">L135-O135</f>
        <v>307.24</v>
      </c>
      <c r="N135" s="46"/>
      <c r="O135" s="46"/>
      <c r="P135" s="47" t="n">
        <v>45716</v>
      </c>
      <c r="Q135" s="68" t="n">
        <v>45736</v>
      </c>
      <c r="R135" s="2"/>
      <c r="S135" s="3"/>
      <c r="T135" s="3"/>
      <c r="U135" s="3"/>
      <c r="V135" s="3"/>
      <c r="W135" s="3"/>
      <c r="X135" s="3"/>
      <c r="Y135" s="3"/>
      <c r="Z135" s="3"/>
    </row>
    <row r="136" customFormat="false" ht="15.75" hidden="false" customHeight="true" outlineLevel="0" collapsed="false">
      <c r="A136" s="3"/>
      <c r="B136" s="41" t="n">
        <v>113</v>
      </c>
      <c r="C136" s="27" t="s">
        <v>213</v>
      </c>
      <c r="D136" s="27" t="s">
        <v>214</v>
      </c>
      <c r="E136" s="27" t="s">
        <v>218</v>
      </c>
      <c r="F136" s="27" t="s">
        <v>216</v>
      </c>
      <c r="G136" s="42" t="s">
        <v>52</v>
      </c>
      <c r="H136" s="63" t="n">
        <v>253.92</v>
      </c>
      <c r="I136" s="30" t="n">
        <v>53.32</v>
      </c>
      <c r="J136" s="66" t="s">
        <v>180</v>
      </c>
      <c r="K136" s="44" t="s">
        <v>147</v>
      </c>
      <c r="L136" s="30" t="n">
        <v>307.24</v>
      </c>
      <c r="M136" s="45" t="n">
        <f aca="false">L136-O136</f>
        <v>307.24</v>
      </c>
      <c r="N136" s="46"/>
      <c r="O136" s="46"/>
      <c r="P136" s="47" t="n">
        <v>45777</v>
      </c>
      <c r="Q136" s="68" t="n">
        <v>45796</v>
      </c>
      <c r="R136" s="2"/>
      <c r="S136" s="3"/>
      <c r="T136" s="3"/>
      <c r="U136" s="3"/>
      <c r="V136" s="3"/>
      <c r="W136" s="3"/>
      <c r="X136" s="3"/>
      <c r="Y136" s="3"/>
      <c r="Z136" s="3"/>
    </row>
    <row r="137" customFormat="false" ht="15.75" hidden="false" customHeight="true" outlineLevel="0" collapsed="false">
      <c r="A137" s="3"/>
      <c r="B137" s="41" t="n">
        <v>114</v>
      </c>
      <c r="C137" s="27" t="s">
        <v>213</v>
      </c>
      <c r="D137" s="27" t="s">
        <v>214</v>
      </c>
      <c r="E137" s="27" t="s">
        <v>219</v>
      </c>
      <c r="F137" s="27" t="s">
        <v>216</v>
      </c>
      <c r="G137" s="42" t="s">
        <v>52</v>
      </c>
      <c r="H137" s="63" t="n">
        <v>253.92</v>
      </c>
      <c r="I137" s="30" t="n">
        <v>53.32</v>
      </c>
      <c r="J137" s="66" t="s">
        <v>180</v>
      </c>
      <c r="K137" s="44" t="s">
        <v>147</v>
      </c>
      <c r="L137" s="30" t="n">
        <v>307.24</v>
      </c>
      <c r="M137" s="45" t="n">
        <f aca="false">L137-O137</f>
        <v>307.24</v>
      </c>
      <c r="N137" s="46"/>
      <c r="O137" s="46"/>
      <c r="P137" s="47" t="n">
        <v>45808</v>
      </c>
      <c r="Q137" s="68" t="n">
        <v>45825</v>
      </c>
      <c r="R137" s="2"/>
      <c r="S137" s="3"/>
      <c r="T137" s="3"/>
      <c r="U137" s="3"/>
      <c r="V137" s="3"/>
      <c r="W137" s="3"/>
      <c r="X137" s="3"/>
      <c r="Y137" s="3"/>
      <c r="Z137" s="3"/>
    </row>
    <row r="138" customFormat="false" ht="15.75" hidden="false" customHeight="true" outlineLevel="0" collapsed="false">
      <c r="A138" s="3"/>
      <c r="B138" s="41" t="n">
        <v>115</v>
      </c>
      <c r="C138" s="27" t="s">
        <v>213</v>
      </c>
      <c r="D138" s="27" t="s">
        <v>214</v>
      </c>
      <c r="E138" s="27" t="s">
        <v>220</v>
      </c>
      <c r="F138" s="27" t="s">
        <v>216</v>
      </c>
      <c r="G138" s="42" t="s">
        <v>52</v>
      </c>
      <c r="H138" s="63" t="n">
        <v>253.92</v>
      </c>
      <c r="I138" s="30" t="n">
        <v>53.32</v>
      </c>
      <c r="J138" s="66" t="s">
        <v>180</v>
      </c>
      <c r="K138" s="44" t="s">
        <v>147</v>
      </c>
      <c r="L138" s="30" t="n">
        <v>307.24</v>
      </c>
      <c r="M138" s="45" t="n">
        <f aca="false">L138-O138</f>
        <v>307.24</v>
      </c>
      <c r="N138" s="46"/>
      <c r="O138" s="46"/>
      <c r="P138" s="47" t="n">
        <v>45838</v>
      </c>
      <c r="Q138" s="68" t="n">
        <v>45854</v>
      </c>
      <c r="R138" s="2"/>
      <c r="S138" s="3"/>
      <c r="T138" s="3"/>
      <c r="U138" s="3"/>
      <c r="V138" s="3"/>
      <c r="W138" s="3"/>
      <c r="X138" s="3"/>
      <c r="Y138" s="3"/>
      <c r="Z138" s="3"/>
    </row>
    <row r="139" customFormat="false" ht="15.75" hidden="false" customHeight="true" outlineLevel="0" collapsed="false">
      <c r="A139" s="3"/>
      <c r="B139" s="41" t="n">
        <v>116</v>
      </c>
      <c r="C139" s="27" t="s">
        <v>213</v>
      </c>
      <c r="D139" s="27" t="s">
        <v>214</v>
      </c>
      <c r="E139" s="27" t="s">
        <v>221</v>
      </c>
      <c r="F139" s="27" t="s">
        <v>216</v>
      </c>
      <c r="G139" s="42" t="s">
        <v>52</v>
      </c>
      <c r="H139" s="63" t="n">
        <v>253.92</v>
      </c>
      <c r="I139" s="30" t="n">
        <v>53.32</v>
      </c>
      <c r="J139" s="66" t="s">
        <v>180</v>
      </c>
      <c r="K139" s="44" t="s">
        <v>147</v>
      </c>
      <c r="L139" s="30" t="n">
        <v>307.24</v>
      </c>
      <c r="M139" s="45" t="n">
        <f aca="false">L139-O139</f>
        <v>307.24</v>
      </c>
      <c r="N139" s="46"/>
      <c r="O139" s="46"/>
      <c r="P139" s="47" t="n">
        <v>45869</v>
      </c>
      <c r="Q139" s="68" t="n">
        <v>45896</v>
      </c>
      <c r="R139" s="2"/>
      <c r="S139" s="3"/>
      <c r="T139" s="3"/>
      <c r="U139" s="3"/>
      <c r="V139" s="3"/>
      <c r="W139" s="3"/>
      <c r="X139" s="3"/>
      <c r="Y139" s="3"/>
      <c r="Z139" s="3"/>
    </row>
    <row r="140" customFormat="false" ht="15.75" hidden="false" customHeight="true" outlineLevel="0" collapsed="false">
      <c r="A140" s="3"/>
      <c r="B140" s="41" t="n">
        <v>117</v>
      </c>
      <c r="C140" s="27" t="s">
        <v>213</v>
      </c>
      <c r="D140" s="27" t="s">
        <v>214</v>
      </c>
      <c r="E140" s="27" t="s">
        <v>222</v>
      </c>
      <c r="F140" s="27" t="s">
        <v>216</v>
      </c>
      <c r="G140" s="42" t="s">
        <v>52</v>
      </c>
      <c r="H140" s="63" t="n">
        <v>253.92</v>
      </c>
      <c r="I140" s="30" t="n">
        <v>53.32</v>
      </c>
      <c r="J140" s="66" t="s">
        <v>180</v>
      </c>
      <c r="K140" s="44" t="s">
        <v>147</v>
      </c>
      <c r="L140" s="30" t="n">
        <v>307.24</v>
      </c>
      <c r="M140" s="45" t="n">
        <f aca="false">L140-O140</f>
        <v>307.24</v>
      </c>
      <c r="N140" s="46"/>
      <c r="O140" s="46"/>
      <c r="P140" s="47" t="n">
        <v>45900</v>
      </c>
      <c r="Q140" s="68" t="n">
        <v>45824</v>
      </c>
      <c r="R140" s="2"/>
      <c r="S140" s="3"/>
      <c r="T140" s="3"/>
      <c r="U140" s="3"/>
      <c r="V140" s="3"/>
      <c r="W140" s="3"/>
      <c r="X140" s="3"/>
      <c r="Y140" s="3"/>
      <c r="Z140" s="3"/>
    </row>
    <row r="141" customFormat="false" ht="15.75" hidden="false" customHeight="true" outlineLevel="0" collapsed="false">
      <c r="A141" s="3"/>
      <c r="B141" s="41" t="n">
        <v>118</v>
      </c>
      <c r="C141" s="27" t="s">
        <v>213</v>
      </c>
      <c r="D141" s="27" t="s">
        <v>214</v>
      </c>
      <c r="E141" s="27" t="s">
        <v>223</v>
      </c>
      <c r="F141" s="27" t="s">
        <v>216</v>
      </c>
      <c r="G141" s="42" t="s">
        <v>52</v>
      </c>
      <c r="H141" s="63" t="n">
        <v>253.92</v>
      </c>
      <c r="I141" s="30" t="n">
        <v>53.32</v>
      </c>
      <c r="J141" s="66" t="s">
        <v>180</v>
      </c>
      <c r="K141" s="44" t="s">
        <v>147</v>
      </c>
      <c r="L141" s="30" t="n">
        <v>307.24</v>
      </c>
      <c r="M141" s="45" t="n">
        <f aca="false">L141-O141</f>
        <v>307.24</v>
      </c>
      <c r="N141" s="46"/>
      <c r="O141" s="46"/>
      <c r="P141" s="47" t="n">
        <v>45930</v>
      </c>
      <c r="Q141" s="68" t="n">
        <v>45947</v>
      </c>
      <c r="R141" s="2"/>
      <c r="S141" s="3"/>
      <c r="T141" s="3"/>
      <c r="U141" s="3"/>
      <c r="V141" s="3"/>
      <c r="W141" s="3"/>
      <c r="X141" s="3"/>
      <c r="Y141" s="3"/>
      <c r="Z141" s="3"/>
    </row>
    <row r="142" customFormat="false" ht="15.75" hidden="false" customHeight="true" outlineLevel="0" collapsed="false">
      <c r="A142" s="3"/>
      <c r="B142" s="41" t="n">
        <v>119</v>
      </c>
      <c r="C142" s="27" t="s">
        <v>213</v>
      </c>
      <c r="D142" s="27" t="s">
        <v>214</v>
      </c>
      <c r="E142" s="27" t="s">
        <v>224</v>
      </c>
      <c r="F142" s="27" t="s">
        <v>216</v>
      </c>
      <c r="G142" s="42" t="s">
        <v>52</v>
      </c>
      <c r="H142" s="63" t="n">
        <v>253.92</v>
      </c>
      <c r="I142" s="30" t="n">
        <v>53.32</v>
      </c>
      <c r="J142" s="66" t="s">
        <v>180</v>
      </c>
      <c r="K142" s="44" t="s">
        <v>147</v>
      </c>
      <c r="L142" s="30" t="n">
        <v>307.24</v>
      </c>
      <c r="M142" s="45" t="n">
        <f aca="false">L142-O142</f>
        <v>307.24</v>
      </c>
      <c r="N142" s="46"/>
      <c r="O142" s="46"/>
      <c r="P142" s="47" t="n">
        <v>45961</v>
      </c>
      <c r="Q142" s="68" t="n">
        <v>45982</v>
      </c>
      <c r="R142" s="2"/>
      <c r="S142" s="3"/>
      <c r="T142" s="3"/>
      <c r="U142" s="3"/>
      <c r="V142" s="3"/>
      <c r="W142" s="3"/>
      <c r="X142" s="3"/>
      <c r="Y142" s="3"/>
      <c r="Z142" s="3"/>
    </row>
    <row r="143" customFormat="false" ht="15.75" hidden="false" customHeight="true" outlineLevel="0" collapsed="false">
      <c r="A143" s="3"/>
      <c r="B143" s="41" t="n">
        <v>120</v>
      </c>
      <c r="C143" s="27" t="s">
        <v>225</v>
      </c>
      <c r="D143" s="27" t="s">
        <v>226</v>
      </c>
      <c r="E143" s="27" t="s">
        <v>227</v>
      </c>
      <c r="F143" s="27" t="s">
        <v>228</v>
      </c>
      <c r="G143" s="42" t="s">
        <v>52</v>
      </c>
      <c r="H143" s="63" t="n">
        <v>143.78</v>
      </c>
      <c r="I143" s="30" t="n">
        <v>30.19</v>
      </c>
      <c r="J143" s="66" t="s">
        <v>180</v>
      </c>
      <c r="K143" s="44" t="s">
        <v>147</v>
      </c>
      <c r="L143" s="30" t="n">
        <v>173.97</v>
      </c>
      <c r="M143" s="45" t="n">
        <f aca="false">L143-O143</f>
        <v>173.97</v>
      </c>
      <c r="N143" s="46"/>
      <c r="O143" s="46"/>
      <c r="P143" s="47" t="n">
        <v>45688</v>
      </c>
      <c r="Q143" s="68" t="n">
        <v>45708</v>
      </c>
      <c r="R143" s="2"/>
      <c r="S143" s="3"/>
      <c r="T143" s="3"/>
      <c r="U143" s="3"/>
      <c r="V143" s="3"/>
      <c r="W143" s="3"/>
      <c r="X143" s="3"/>
      <c r="Y143" s="3"/>
      <c r="Z143" s="3"/>
    </row>
    <row r="144" customFormat="false" ht="15.75" hidden="false" customHeight="true" outlineLevel="0" collapsed="false">
      <c r="A144" s="3"/>
      <c r="B144" s="41" t="n">
        <v>121</v>
      </c>
      <c r="C144" s="27" t="s">
        <v>225</v>
      </c>
      <c r="D144" s="27" t="s">
        <v>226</v>
      </c>
      <c r="E144" s="27" t="s">
        <v>229</v>
      </c>
      <c r="F144" s="27" t="s">
        <v>228</v>
      </c>
      <c r="G144" s="42" t="s">
        <v>52</v>
      </c>
      <c r="H144" s="63" t="n">
        <v>209.5</v>
      </c>
      <c r="I144" s="30" t="n">
        <v>44</v>
      </c>
      <c r="J144" s="66" t="s">
        <v>180</v>
      </c>
      <c r="K144" s="44" t="s">
        <v>147</v>
      </c>
      <c r="L144" s="30" t="n">
        <v>253.5</v>
      </c>
      <c r="M144" s="45" t="n">
        <f aca="false">L144-O144</f>
        <v>253.5</v>
      </c>
      <c r="N144" s="46"/>
      <c r="O144" s="46"/>
      <c r="P144" s="47" t="n">
        <v>45716</v>
      </c>
      <c r="Q144" s="68" t="n">
        <v>45734</v>
      </c>
      <c r="R144" s="2"/>
      <c r="S144" s="3"/>
      <c r="T144" s="3"/>
      <c r="U144" s="3"/>
      <c r="V144" s="3"/>
      <c r="W144" s="3"/>
      <c r="X144" s="3"/>
      <c r="Y144" s="3"/>
      <c r="Z144" s="3"/>
    </row>
    <row r="145" customFormat="false" ht="15.75" hidden="false" customHeight="true" outlineLevel="0" collapsed="false">
      <c r="A145" s="3"/>
      <c r="B145" s="41" t="n">
        <v>122</v>
      </c>
      <c r="C145" s="27" t="s">
        <v>230</v>
      </c>
      <c r="D145" s="27" t="s">
        <v>231</v>
      </c>
      <c r="E145" s="27" t="s">
        <v>232</v>
      </c>
      <c r="F145" s="27" t="s">
        <v>228</v>
      </c>
      <c r="G145" s="42" t="s">
        <v>52</v>
      </c>
      <c r="H145" s="63" t="n">
        <v>216.06</v>
      </c>
      <c r="I145" s="30" t="n">
        <v>45.37</v>
      </c>
      <c r="J145" s="66" t="s">
        <v>180</v>
      </c>
      <c r="K145" s="44" t="s">
        <v>147</v>
      </c>
      <c r="L145" s="30" t="n">
        <v>261.43</v>
      </c>
      <c r="M145" s="45" t="n">
        <f aca="false">L145-O145</f>
        <v>261.43</v>
      </c>
      <c r="N145" s="46"/>
      <c r="O145" s="46"/>
      <c r="P145" s="47" t="n">
        <v>45777</v>
      </c>
      <c r="Q145" s="68" t="n">
        <v>45790</v>
      </c>
      <c r="R145" s="2"/>
      <c r="S145" s="3"/>
      <c r="T145" s="3"/>
      <c r="U145" s="3"/>
      <c r="V145" s="3"/>
      <c r="W145" s="3"/>
      <c r="X145" s="3"/>
      <c r="Y145" s="3"/>
      <c r="Z145" s="3"/>
    </row>
    <row r="146" customFormat="false" ht="15.75" hidden="false" customHeight="true" outlineLevel="0" collapsed="false">
      <c r="A146" s="3"/>
      <c r="B146" s="41" t="n">
        <v>123</v>
      </c>
      <c r="C146" s="27" t="s">
        <v>230</v>
      </c>
      <c r="D146" s="27" t="s">
        <v>231</v>
      </c>
      <c r="E146" s="27" t="s">
        <v>233</v>
      </c>
      <c r="F146" s="27" t="s">
        <v>228</v>
      </c>
      <c r="G146" s="42" t="s">
        <v>52</v>
      </c>
      <c r="H146" s="63" t="n">
        <v>119.34</v>
      </c>
      <c r="I146" s="30" t="n">
        <v>25.06</v>
      </c>
      <c r="J146" s="66" t="s">
        <v>180</v>
      </c>
      <c r="K146" s="44" t="s">
        <v>147</v>
      </c>
      <c r="L146" s="30" t="n">
        <v>144.4</v>
      </c>
      <c r="M146" s="45" t="n">
        <f aca="false">L146-O146</f>
        <v>144.4</v>
      </c>
      <c r="N146" s="46"/>
      <c r="O146" s="46"/>
      <c r="P146" s="47" t="n">
        <v>45808</v>
      </c>
      <c r="Q146" s="68" t="n">
        <v>45824</v>
      </c>
      <c r="R146" s="2"/>
      <c r="S146" s="3"/>
      <c r="T146" s="3"/>
      <c r="U146" s="3"/>
      <c r="V146" s="3"/>
      <c r="W146" s="3"/>
      <c r="X146" s="3"/>
      <c r="Y146" s="3"/>
      <c r="Z146" s="3"/>
    </row>
    <row r="147" customFormat="false" ht="15.75" hidden="false" customHeight="true" outlineLevel="0" collapsed="false">
      <c r="A147" s="3"/>
      <c r="B147" s="41" t="n">
        <v>124</v>
      </c>
      <c r="C147" s="27" t="s">
        <v>230</v>
      </c>
      <c r="D147" s="27" t="s">
        <v>231</v>
      </c>
      <c r="E147" s="27" t="s">
        <v>234</v>
      </c>
      <c r="F147" s="27" t="s">
        <v>228</v>
      </c>
      <c r="G147" s="42" t="s">
        <v>52</v>
      </c>
      <c r="H147" s="63" t="n">
        <v>98.48</v>
      </c>
      <c r="I147" s="63" t="n">
        <v>20.68</v>
      </c>
      <c r="J147" s="66" t="s">
        <v>180</v>
      </c>
      <c r="K147" s="44" t="s">
        <v>147</v>
      </c>
      <c r="L147" s="30" t="n">
        <v>119.16</v>
      </c>
      <c r="M147" s="45" t="n">
        <f aca="false">L147-O147</f>
        <v>119.16</v>
      </c>
      <c r="N147" s="74"/>
      <c r="O147" s="74"/>
      <c r="P147" s="61" t="n">
        <v>45838</v>
      </c>
      <c r="Q147" s="68" t="n">
        <v>45854</v>
      </c>
      <c r="R147" s="2"/>
      <c r="S147" s="3"/>
      <c r="T147" s="3"/>
      <c r="U147" s="3"/>
      <c r="V147" s="3"/>
      <c r="W147" s="3"/>
      <c r="X147" s="3"/>
      <c r="Y147" s="3"/>
      <c r="Z147" s="3"/>
    </row>
    <row r="148" customFormat="false" ht="15.75" hidden="false" customHeight="true" outlineLevel="0" collapsed="false">
      <c r="A148" s="3"/>
      <c r="B148" s="41" t="n">
        <v>125</v>
      </c>
      <c r="C148" s="27" t="s">
        <v>230</v>
      </c>
      <c r="D148" s="27" t="s">
        <v>231</v>
      </c>
      <c r="E148" s="27" t="s">
        <v>235</v>
      </c>
      <c r="F148" s="27" t="s">
        <v>228</v>
      </c>
      <c r="G148" s="42" t="s">
        <v>52</v>
      </c>
      <c r="H148" s="63" t="n">
        <v>98.48</v>
      </c>
      <c r="I148" s="63" t="n">
        <v>20.68</v>
      </c>
      <c r="J148" s="66" t="s">
        <v>180</v>
      </c>
      <c r="K148" s="44" t="s">
        <v>147</v>
      </c>
      <c r="L148" s="30" t="n">
        <v>119.16</v>
      </c>
      <c r="M148" s="45" t="n">
        <f aca="false">L148-O148</f>
        <v>119.16</v>
      </c>
      <c r="N148" s="74"/>
      <c r="O148" s="74"/>
      <c r="P148" s="61" t="n">
        <v>45869</v>
      </c>
      <c r="Q148" s="68" t="n">
        <v>45882</v>
      </c>
      <c r="R148" s="2"/>
      <c r="S148" s="3"/>
      <c r="T148" s="3"/>
      <c r="U148" s="3"/>
      <c r="V148" s="3"/>
      <c r="W148" s="3"/>
      <c r="X148" s="3"/>
      <c r="Y148" s="3"/>
      <c r="Z148" s="3"/>
    </row>
    <row r="149" customFormat="false" ht="15.75" hidden="false" customHeight="true" outlineLevel="0" collapsed="false">
      <c r="A149" s="3"/>
      <c r="B149" s="41" t="n">
        <v>126</v>
      </c>
      <c r="C149" s="27" t="s">
        <v>230</v>
      </c>
      <c r="D149" s="27" t="s">
        <v>231</v>
      </c>
      <c r="E149" s="27" t="s">
        <v>236</v>
      </c>
      <c r="F149" s="27" t="s">
        <v>228</v>
      </c>
      <c r="G149" s="42" t="s">
        <v>52</v>
      </c>
      <c r="H149" s="63" t="n">
        <v>98.48</v>
      </c>
      <c r="I149" s="63" t="n">
        <v>20.68</v>
      </c>
      <c r="J149" s="75" t="s">
        <v>180</v>
      </c>
      <c r="K149" s="76" t="s">
        <v>147</v>
      </c>
      <c r="L149" s="30" t="n">
        <v>119.16</v>
      </c>
      <c r="M149" s="45" t="n">
        <f aca="false">L149-O149</f>
        <v>119.16</v>
      </c>
      <c r="N149" s="74"/>
      <c r="O149" s="74"/>
      <c r="P149" s="61" t="n">
        <v>45900</v>
      </c>
      <c r="Q149" s="68" t="n">
        <v>45918</v>
      </c>
      <c r="R149" s="2"/>
      <c r="S149" s="3"/>
      <c r="T149" s="3"/>
      <c r="U149" s="3"/>
      <c r="V149" s="3"/>
      <c r="W149" s="3"/>
      <c r="X149" s="3"/>
      <c r="Y149" s="3"/>
      <c r="Z149" s="3"/>
    </row>
    <row r="150" customFormat="false" ht="15.75" hidden="false" customHeight="true" outlineLevel="0" collapsed="false">
      <c r="A150" s="3"/>
      <c r="B150" s="41" t="n">
        <v>127</v>
      </c>
      <c r="C150" s="27" t="s">
        <v>230</v>
      </c>
      <c r="D150" s="27" t="s">
        <v>231</v>
      </c>
      <c r="E150" s="27" t="s">
        <v>237</v>
      </c>
      <c r="F150" s="27" t="s">
        <v>228</v>
      </c>
      <c r="G150" s="42" t="s">
        <v>52</v>
      </c>
      <c r="H150" s="63" t="n">
        <v>98.48</v>
      </c>
      <c r="I150" s="63" t="n">
        <v>20.68</v>
      </c>
      <c r="J150" s="75" t="s">
        <v>180</v>
      </c>
      <c r="K150" s="76" t="s">
        <v>147</v>
      </c>
      <c r="L150" s="30" t="n">
        <v>119.16</v>
      </c>
      <c r="M150" s="45" t="n">
        <f aca="false">L150-O150</f>
        <v>119.16</v>
      </c>
      <c r="N150" s="74"/>
      <c r="O150" s="74"/>
      <c r="P150" s="61" t="n">
        <v>45930</v>
      </c>
      <c r="Q150" s="68" t="n">
        <v>45945</v>
      </c>
      <c r="R150" s="2"/>
      <c r="S150" s="3"/>
      <c r="T150" s="3"/>
      <c r="U150" s="3"/>
      <c r="V150" s="3"/>
      <c r="W150" s="3"/>
      <c r="X150" s="3"/>
      <c r="Y150" s="3"/>
      <c r="Z150" s="3"/>
    </row>
    <row r="151" customFormat="false" ht="15.75" hidden="false" customHeight="true" outlineLevel="0" collapsed="false">
      <c r="A151" s="3"/>
      <c r="B151" s="41" t="n">
        <v>128</v>
      </c>
      <c r="C151" s="27" t="s">
        <v>230</v>
      </c>
      <c r="D151" s="27" t="s">
        <v>231</v>
      </c>
      <c r="E151" s="77" t="s">
        <v>238</v>
      </c>
      <c r="F151" s="77" t="s">
        <v>228</v>
      </c>
      <c r="G151" s="42" t="s">
        <v>52</v>
      </c>
      <c r="H151" s="63" t="n">
        <v>98.48</v>
      </c>
      <c r="I151" s="63" t="n">
        <v>20.68</v>
      </c>
      <c r="J151" s="75" t="s">
        <v>180</v>
      </c>
      <c r="K151" s="76" t="s">
        <v>147</v>
      </c>
      <c r="L151" s="30" t="n">
        <v>119.16</v>
      </c>
      <c r="M151" s="45" t="n">
        <f aca="false">L151-O151</f>
        <v>119.16</v>
      </c>
      <c r="N151" s="74"/>
      <c r="O151" s="74"/>
      <c r="P151" s="61" t="n">
        <v>45961</v>
      </c>
      <c r="Q151" s="68" t="n">
        <v>45973</v>
      </c>
      <c r="R151" s="2"/>
      <c r="S151" s="3"/>
      <c r="T151" s="3"/>
      <c r="U151" s="3"/>
      <c r="V151" s="3"/>
      <c r="W151" s="3"/>
      <c r="X151" s="3"/>
      <c r="Y151" s="3"/>
      <c r="Z151" s="3"/>
    </row>
    <row r="152" customFormat="false" ht="15.75" hidden="false" customHeight="true" outlineLevel="0" collapsed="false">
      <c r="A152" s="3"/>
      <c r="B152" s="41" t="n">
        <v>129</v>
      </c>
      <c r="C152" s="27" t="s">
        <v>239</v>
      </c>
      <c r="D152" s="27" t="s">
        <v>240</v>
      </c>
      <c r="E152" s="77" t="s">
        <v>241</v>
      </c>
      <c r="F152" s="77" t="s">
        <v>242</v>
      </c>
      <c r="G152" s="42" t="s">
        <v>52</v>
      </c>
      <c r="H152" s="63" t="n">
        <v>287</v>
      </c>
      <c r="I152" s="63" t="n">
        <v>76.3</v>
      </c>
      <c r="J152" s="75" t="s">
        <v>180</v>
      </c>
      <c r="K152" s="76" t="s">
        <v>147</v>
      </c>
      <c r="L152" s="30" t="n">
        <v>363.3</v>
      </c>
      <c r="M152" s="45" t="n">
        <f aca="false">L152-O152</f>
        <v>363.3</v>
      </c>
      <c r="N152" s="74"/>
      <c r="O152" s="74"/>
      <c r="P152" s="61" t="n">
        <v>45684</v>
      </c>
      <c r="Q152" s="68" t="n">
        <v>45685</v>
      </c>
      <c r="R152" s="2"/>
      <c r="S152" s="3"/>
      <c r="T152" s="3"/>
      <c r="U152" s="3"/>
      <c r="V152" s="3"/>
      <c r="W152" s="3"/>
      <c r="X152" s="3"/>
      <c r="Y152" s="3"/>
      <c r="Z152" s="3"/>
    </row>
    <row r="153" customFormat="false" ht="15.75" hidden="false" customHeight="true" outlineLevel="0" collapsed="false">
      <c r="A153" s="3"/>
      <c r="B153" s="41" t="n">
        <v>130</v>
      </c>
      <c r="C153" s="27" t="s">
        <v>239</v>
      </c>
      <c r="D153" s="27" t="s">
        <v>240</v>
      </c>
      <c r="E153" s="77" t="s">
        <v>243</v>
      </c>
      <c r="F153" s="77" t="s">
        <v>242</v>
      </c>
      <c r="G153" s="42" t="s">
        <v>52</v>
      </c>
      <c r="H153" s="63" t="n">
        <v>285.2</v>
      </c>
      <c r="I153" s="63" t="n">
        <v>75.81</v>
      </c>
      <c r="J153" s="75" t="s">
        <v>180</v>
      </c>
      <c r="K153" s="76" t="s">
        <v>147</v>
      </c>
      <c r="L153" s="30" t="n">
        <v>361.01</v>
      </c>
      <c r="M153" s="45" t="n">
        <f aca="false">L153-O153</f>
        <v>361.01</v>
      </c>
      <c r="N153" s="74"/>
      <c r="O153" s="74"/>
      <c r="P153" s="61" t="n">
        <v>45715</v>
      </c>
      <c r="Q153" s="68" t="n">
        <v>45719</v>
      </c>
      <c r="R153" s="2"/>
      <c r="S153" s="3"/>
      <c r="T153" s="3"/>
      <c r="U153" s="3"/>
      <c r="V153" s="3"/>
      <c r="W153" s="3"/>
      <c r="X153" s="3"/>
      <c r="Y153" s="3"/>
      <c r="Z153" s="3"/>
    </row>
    <row r="154" customFormat="false" ht="15.75" hidden="false" customHeight="true" outlineLevel="0" collapsed="false">
      <c r="A154" s="3"/>
      <c r="B154" s="41" t="n">
        <v>131</v>
      </c>
      <c r="C154" s="27" t="s">
        <v>239</v>
      </c>
      <c r="D154" s="27" t="s">
        <v>240</v>
      </c>
      <c r="E154" s="77" t="s">
        <v>244</v>
      </c>
      <c r="F154" s="77" t="s">
        <v>242</v>
      </c>
      <c r="G154" s="42" t="s">
        <v>52</v>
      </c>
      <c r="H154" s="63" t="n">
        <v>278.06</v>
      </c>
      <c r="I154" s="63" t="n">
        <v>73.91</v>
      </c>
      <c r="J154" s="75" t="s">
        <v>180</v>
      </c>
      <c r="K154" s="76" t="n">
        <v>1</v>
      </c>
      <c r="L154" s="30" t="n">
        <f aca="false">(H154+I154)*K154</f>
        <v>351.97</v>
      </c>
      <c r="M154" s="45" t="n">
        <f aca="false">L154-O154</f>
        <v>351.97</v>
      </c>
      <c r="N154" s="74"/>
      <c r="O154" s="74"/>
      <c r="P154" s="61" t="n">
        <v>45743</v>
      </c>
      <c r="Q154" s="68" t="n">
        <v>45744</v>
      </c>
      <c r="R154" s="2"/>
      <c r="S154" s="3"/>
      <c r="T154" s="3"/>
      <c r="U154" s="3"/>
      <c r="V154" s="3"/>
      <c r="W154" s="3"/>
      <c r="X154" s="3"/>
      <c r="Y154" s="3"/>
      <c r="Z154" s="3"/>
    </row>
    <row r="155" customFormat="false" ht="15.75" hidden="false" customHeight="true" outlineLevel="0" collapsed="false">
      <c r="A155" s="3"/>
      <c r="B155" s="41" t="n">
        <v>132</v>
      </c>
      <c r="C155" s="27" t="s">
        <v>239</v>
      </c>
      <c r="D155" s="27" t="s">
        <v>240</v>
      </c>
      <c r="E155" s="77" t="s">
        <v>245</v>
      </c>
      <c r="F155" s="77" t="s">
        <v>242</v>
      </c>
      <c r="G155" s="42" t="s">
        <v>52</v>
      </c>
      <c r="H155" s="63" t="n">
        <v>264.03</v>
      </c>
      <c r="I155" s="63" t="n">
        <v>70.18</v>
      </c>
      <c r="J155" s="75" t="s">
        <v>180</v>
      </c>
      <c r="K155" s="76" t="n">
        <v>1</v>
      </c>
      <c r="L155" s="30" t="n">
        <f aca="false">(H155+I155)*K155</f>
        <v>334.21</v>
      </c>
      <c r="M155" s="45" t="n">
        <f aca="false">L155-O155</f>
        <v>334.21</v>
      </c>
      <c r="N155" s="74"/>
      <c r="O155" s="74"/>
      <c r="P155" s="61" t="n">
        <v>45774</v>
      </c>
      <c r="Q155" s="68" t="n">
        <v>45776</v>
      </c>
      <c r="R155" s="2"/>
      <c r="S155" s="3"/>
      <c r="T155" s="3"/>
      <c r="U155" s="3"/>
      <c r="V155" s="3"/>
      <c r="W155" s="3"/>
      <c r="X155" s="3"/>
      <c r="Y155" s="3"/>
      <c r="Z155" s="3"/>
    </row>
    <row r="156" customFormat="false" ht="15.75" hidden="false" customHeight="true" outlineLevel="0" collapsed="false">
      <c r="A156" s="3"/>
      <c r="B156" s="41" t="n">
        <v>133</v>
      </c>
      <c r="C156" s="27" t="s">
        <v>239</v>
      </c>
      <c r="D156" s="27" t="s">
        <v>240</v>
      </c>
      <c r="E156" s="77" t="s">
        <v>246</v>
      </c>
      <c r="F156" s="77" t="s">
        <v>242</v>
      </c>
      <c r="G156" s="42" t="s">
        <v>52</v>
      </c>
      <c r="H156" s="63" t="n">
        <v>264.93</v>
      </c>
      <c r="I156" s="63" t="n">
        <v>70.43</v>
      </c>
      <c r="J156" s="75" t="s">
        <v>180</v>
      </c>
      <c r="K156" s="76" t="n">
        <v>1</v>
      </c>
      <c r="L156" s="30" t="n">
        <f aca="false">(H156+I156)*K156</f>
        <v>335.36</v>
      </c>
      <c r="M156" s="45" t="n">
        <f aca="false">L156-O156</f>
        <v>335.36</v>
      </c>
      <c r="N156" s="74"/>
      <c r="O156" s="74"/>
      <c r="P156" s="61" t="n">
        <v>45804</v>
      </c>
      <c r="Q156" s="68" t="n">
        <v>45805</v>
      </c>
      <c r="R156" s="2"/>
      <c r="S156" s="3"/>
      <c r="T156" s="3"/>
      <c r="U156" s="3"/>
      <c r="V156" s="3"/>
      <c r="W156" s="3"/>
      <c r="X156" s="3"/>
      <c r="Y156" s="3"/>
      <c r="Z156" s="3"/>
    </row>
    <row r="157" customFormat="false" ht="15.75" hidden="false" customHeight="true" outlineLevel="0" collapsed="false">
      <c r="A157" s="3"/>
      <c r="B157" s="41" t="n">
        <v>134</v>
      </c>
      <c r="C157" s="27" t="s">
        <v>239</v>
      </c>
      <c r="D157" s="27" t="s">
        <v>240</v>
      </c>
      <c r="E157" s="77" t="s">
        <v>247</v>
      </c>
      <c r="F157" s="77" t="s">
        <v>242</v>
      </c>
      <c r="G157" s="42" t="s">
        <v>52</v>
      </c>
      <c r="H157" s="63" t="n">
        <v>256.41</v>
      </c>
      <c r="I157" s="63" t="n">
        <v>68.16</v>
      </c>
      <c r="J157" s="75" t="s">
        <v>180</v>
      </c>
      <c r="K157" s="76" t="n">
        <v>1</v>
      </c>
      <c r="L157" s="30" t="n">
        <f aca="false">(H157+I157)*K157</f>
        <v>324.57</v>
      </c>
      <c r="M157" s="45" t="n">
        <f aca="false">L157-O157</f>
        <v>324.57</v>
      </c>
      <c r="N157" s="74"/>
      <c r="O157" s="74"/>
      <c r="P157" s="61" t="n">
        <v>45835</v>
      </c>
      <c r="Q157" s="68" t="n">
        <v>45838</v>
      </c>
      <c r="R157" s="2"/>
      <c r="S157" s="3"/>
      <c r="T157" s="3"/>
      <c r="U157" s="3"/>
      <c r="V157" s="3"/>
      <c r="W157" s="3"/>
      <c r="X157" s="3"/>
      <c r="Y157" s="3"/>
      <c r="Z157" s="3"/>
    </row>
    <row r="158" customFormat="false" ht="15.75" hidden="false" customHeight="true" outlineLevel="0" collapsed="false">
      <c r="A158" s="3"/>
      <c r="B158" s="41" t="n">
        <v>135</v>
      </c>
      <c r="C158" s="27" t="s">
        <v>239</v>
      </c>
      <c r="D158" s="27" t="s">
        <v>240</v>
      </c>
      <c r="E158" s="77" t="s">
        <v>248</v>
      </c>
      <c r="F158" s="77" t="s">
        <v>242</v>
      </c>
      <c r="G158" s="42" t="s">
        <v>52</v>
      </c>
      <c r="H158" s="63" t="n">
        <v>255.27</v>
      </c>
      <c r="I158" s="63" t="n">
        <v>67.86</v>
      </c>
      <c r="J158" s="75" t="s">
        <v>180</v>
      </c>
      <c r="K158" s="76" t="n">
        <v>1</v>
      </c>
      <c r="L158" s="30" t="n">
        <f aca="false">(H158+I158)*K158</f>
        <v>323.13</v>
      </c>
      <c r="M158" s="45" t="n">
        <f aca="false">L158-O158</f>
        <v>323.13</v>
      </c>
      <c r="N158" s="74"/>
      <c r="O158" s="74"/>
      <c r="P158" s="61" t="n">
        <v>45865</v>
      </c>
      <c r="Q158" s="68" t="n">
        <v>45867</v>
      </c>
      <c r="R158" s="2"/>
      <c r="S158" s="3"/>
      <c r="T158" s="3"/>
      <c r="U158" s="3"/>
      <c r="V158" s="3"/>
      <c r="W158" s="3"/>
      <c r="X158" s="3"/>
      <c r="Y158" s="3"/>
      <c r="Z158" s="3"/>
    </row>
    <row r="159" customFormat="false" ht="15.75" hidden="false" customHeight="true" outlineLevel="0" collapsed="false">
      <c r="A159" s="3"/>
      <c r="B159" s="41" t="n">
        <v>136</v>
      </c>
      <c r="C159" s="27" t="s">
        <v>239</v>
      </c>
      <c r="D159" s="27" t="s">
        <v>240</v>
      </c>
      <c r="E159" s="77" t="s">
        <v>249</v>
      </c>
      <c r="F159" s="77" t="s">
        <v>242</v>
      </c>
      <c r="G159" s="42" t="s">
        <v>52</v>
      </c>
      <c r="H159" s="63" t="n">
        <v>257.53</v>
      </c>
      <c r="I159" s="63" t="n">
        <v>68.46</v>
      </c>
      <c r="J159" s="75" t="s">
        <v>180</v>
      </c>
      <c r="K159" s="76" t="n">
        <v>1</v>
      </c>
      <c r="L159" s="30" t="n">
        <f aca="false">(H159+I159)*K159</f>
        <v>325.99</v>
      </c>
      <c r="M159" s="45" t="n">
        <f aca="false">L159-O159</f>
        <v>325.99</v>
      </c>
      <c r="N159" s="74"/>
      <c r="O159" s="74"/>
      <c r="P159" s="61" t="n">
        <v>45896</v>
      </c>
      <c r="Q159" s="68" t="n">
        <v>45897</v>
      </c>
      <c r="R159" s="2"/>
      <c r="S159" s="3"/>
      <c r="T159" s="3"/>
      <c r="U159" s="3"/>
      <c r="V159" s="3"/>
      <c r="W159" s="3"/>
      <c r="X159" s="3"/>
      <c r="Y159" s="3"/>
      <c r="Z159" s="3"/>
    </row>
    <row r="160" customFormat="false" ht="15.75" hidden="false" customHeight="true" outlineLevel="0" collapsed="false">
      <c r="A160" s="3"/>
      <c r="B160" s="41" t="n">
        <v>137</v>
      </c>
      <c r="C160" s="27" t="s">
        <v>239</v>
      </c>
      <c r="D160" s="27" t="s">
        <v>240</v>
      </c>
      <c r="E160" s="77" t="s">
        <v>250</v>
      </c>
      <c r="F160" s="77" t="s">
        <v>242</v>
      </c>
      <c r="G160" s="42" t="s">
        <v>52</v>
      </c>
      <c r="H160" s="63" t="n">
        <v>256.4</v>
      </c>
      <c r="I160" s="63" t="n">
        <v>68.14</v>
      </c>
      <c r="J160" s="75" t="s">
        <v>180</v>
      </c>
      <c r="K160" s="76" t="n">
        <v>1</v>
      </c>
      <c r="L160" s="30" t="n">
        <f aca="false">(H160+I160)*K160</f>
        <v>324.54</v>
      </c>
      <c r="M160" s="45" t="n">
        <f aca="false">L160-O160</f>
        <v>324.54</v>
      </c>
      <c r="N160" s="74"/>
      <c r="O160" s="74"/>
      <c r="P160" s="61" t="n">
        <v>45927</v>
      </c>
      <c r="Q160" s="68" t="n">
        <v>45930</v>
      </c>
      <c r="R160" s="2"/>
      <c r="S160" s="3"/>
      <c r="T160" s="3"/>
      <c r="U160" s="3"/>
      <c r="V160" s="3"/>
      <c r="W160" s="3"/>
      <c r="X160" s="3"/>
      <c r="Y160" s="3"/>
      <c r="Z160" s="3"/>
    </row>
    <row r="161" customFormat="false" ht="15.75" hidden="false" customHeight="true" outlineLevel="0" collapsed="false">
      <c r="A161" s="3"/>
      <c r="B161" s="41" t="n">
        <v>138</v>
      </c>
      <c r="C161" s="27" t="s">
        <v>239</v>
      </c>
      <c r="D161" s="27" t="s">
        <v>240</v>
      </c>
      <c r="E161" s="77" t="s">
        <v>251</v>
      </c>
      <c r="F161" s="77" t="s">
        <v>242</v>
      </c>
      <c r="G161" s="42" t="s">
        <v>52</v>
      </c>
      <c r="H161" s="63" t="n">
        <v>257.53</v>
      </c>
      <c r="I161" s="63" t="n">
        <v>68.46</v>
      </c>
      <c r="J161" s="75" t="s">
        <v>180</v>
      </c>
      <c r="K161" s="76" t="n">
        <v>1</v>
      </c>
      <c r="L161" s="30" t="n">
        <f aca="false">(H161+I161)*K161</f>
        <v>325.99</v>
      </c>
      <c r="M161" s="45" t="n">
        <f aca="false">L161-O161</f>
        <v>325.99</v>
      </c>
      <c r="N161" s="74"/>
      <c r="O161" s="74"/>
      <c r="P161" s="61" t="n">
        <v>45957</v>
      </c>
      <c r="Q161" s="68" t="n">
        <v>45958</v>
      </c>
      <c r="R161" s="2"/>
      <c r="S161" s="3"/>
      <c r="T161" s="3"/>
      <c r="U161" s="3"/>
      <c r="V161" s="3"/>
      <c r="W161" s="3"/>
      <c r="X161" s="3"/>
      <c r="Y161" s="3"/>
      <c r="Z161" s="3"/>
    </row>
    <row r="162" customFormat="false" ht="15.75" hidden="false" customHeight="true" outlineLevel="0" collapsed="false">
      <c r="A162" s="3"/>
      <c r="B162" s="41" t="n">
        <v>139</v>
      </c>
      <c r="C162" s="27" t="s">
        <v>239</v>
      </c>
      <c r="D162" s="27" t="s">
        <v>240</v>
      </c>
      <c r="E162" s="77" t="s">
        <v>252</v>
      </c>
      <c r="F162" s="77" t="s">
        <v>242</v>
      </c>
      <c r="G162" s="42" t="s">
        <v>52</v>
      </c>
      <c r="H162" s="63" t="n">
        <v>258.72</v>
      </c>
      <c r="I162" s="63" t="n">
        <v>68.77</v>
      </c>
      <c r="J162" s="75" t="s">
        <v>180</v>
      </c>
      <c r="K162" s="76" t="n">
        <v>1</v>
      </c>
      <c r="L162" s="30" t="n">
        <f aca="false">(H162+I162)*K162</f>
        <v>327.49</v>
      </c>
      <c r="M162" s="78" t="n">
        <f aca="false">L162-O162</f>
        <v>327.49</v>
      </c>
      <c r="N162" s="74"/>
      <c r="O162" s="74"/>
      <c r="P162" s="61" t="n">
        <v>45988</v>
      </c>
      <c r="Q162" s="72" t="n">
        <v>45989</v>
      </c>
      <c r="R162" s="2"/>
      <c r="S162" s="3"/>
      <c r="T162" s="3"/>
      <c r="U162" s="3"/>
      <c r="V162" s="3"/>
      <c r="W162" s="3"/>
      <c r="X162" s="3"/>
      <c r="Y162" s="3"/>
      <c r="Z162" s="3"/>
    </row>
    <row r="163" customFormat="false" ht="15.75" hidden="false" customHeight="true" outlineLevel="0" collapsed="false">
      <c r="A163" s="3"/>
      <c r="B163" s="41" t="n">
        <v>140</v>
      </c>
      <c r="C163" s="27" t="s">
        <v>253</v>
      </c>
      <c r="D163" s="27" t="s">
        <v>254</v>
      </c>
      <c r="E163" s="77" t="s">
        <v>255</v>
      </c>
      <c r="F163" s="77" t="s">
        <v>256</v>
      </c>
      <c r="G163" s="42" t="s">
        <v>52</v>
      </c>
      <c r="H163" s="63" t="n">
        <v>31.27</v>
      </c>
      <c r="I163" s="63" t="n">
        <v>8.31</v>
      </c>
      <c r="J163" s="75" t="s">
        <v>180</v>
      </c>
      <c r="K163" s="76" t="s">
        <v>147</v>
      </c>
      <c r="L163" s="30" t="n">
        <v>39.58</v>
      </c>
      <c r="M163" s="45" t="n">
        <f aca="false">L163-O163</f>
        <v>39.58</v>
      </c>
      <c r="N163" s="74"/>
      <c r="O163" s="74"/>
      <c r="P163" s="61" t="n">
        <v>45675</v>
      </c>
      <c r="Q163" s="68" t="n">
        <v>45681</v>
      </c>
      <c r="R163" s="2"/>
      <c r="S163" s="3"/>
      <c r="T163" s="3"/>
      <c r="U163" s="3"/>
      <c r="V163" s="3"/>
      <c r="W163" s="3"/>
      <c r="X163" s="3"/>
      <c r="Y163" s="3"/>
      <c r="Z163" s="3"/>
    </row>
    <row r="164" customFormat="false" ht="15.75" hidden="false" customHeight="true" outlineLevel="0" collapsed="false">
      <c r="A164" s="3"/>
      <c r="B164" s="41" t="n">
        <v>141</v>
      </c>
      <c r="C164" s="27" t="s">
        <v>253</v>
      </c>
      <c r="D164" s="27" t="s">
        <v>254</v>
      </c>
      <c r="E164" s="77" t="s">
        <v>257</v>
      </c>
      <c r="F164" s="77" t="s">
        <v>256</v>
      </c>
      <c r="G164" s="42" t="s">
        <v>52</v>
      </c>
      <c r="H164" s="63" t="n">
        <v>30.67</v>
      </c>
      <c r="I164" s="63" t="n">
        <v>8.15</v>
      </c>
      <c r="J164" s="75" t="s">
        <v>180</v>
      </c>
      <c r="K164" s="76" t="s">
        <v>147</v>
      </c>
      <c r="L164" s="30" t="n">
        <v>38.82</v>
      </c>
      <c r="M164" s="45" t="n">
        <f aca="false">L164-O164</f>
        <v>38.82</v>
      </c>
      <c r="N164" s="74"/>
      <c r="O164" s="74"/>
      <c r="P164" s="61" t="n">
        <v>45707</v>
      </c>
      <c r="Q164" s="68" t="n">
        <v>45707</v>
      </c>
      <c r="R164" s="2"/>
      <c r="S164" s="3"/>
      <c r="T164" s="3"/>
      <c r="U164" s="3"/>
      <c r="V164" s="3"/>
      <c r="W164" s="3"/>
      <c r="X164" s="3"/>
      <c r="Y164" s="3"/>
      <c r="Z164" s="3"/>
    </row>
    <row r="165" customFormat="false" ht="15.75" hidden="false" customHeight="true" outlineLevel="0" collapsed="false">
      <c r="A165" s="3"/>
      <c r="B165" s="41" t="n">
        <v>142</v>
      </c>
      <c r="C165" s="27" t="s">
        <v>253</v>
      </c>
      <c r="D165" s="27" t="s">
        <v>254</v>
      </c>
      <c r="E165" s="77" t="s">
        <v>258</v>
      </c>
      <c r="F165" s="77" t="s">
        <v>256</v>
      </c>
      <c r="G165" s="42" t="s">
        <v>52</v>
      </c>
      <c r="H165" s="63" t="n">
        <v>29.53</v>
      </c>
      <c r="I165" s="63" t="n">
        <v>7.85</v>
      </c>
      <c r="J165" s="75" t="s">
        <v>180</v>
      </c>
      <c r="K165" s="76" t="s">
        <v>147</v>
      </c>
      <c r="L165" s="30" t="n">
        <v>37.38</v>
      </c>
      <c r="M165" s="45" t="n">
        <f aca="false">L165-O165</f>
        <v>37.38</v>
      </c>
      <c r="N165" s="74"/>
      <c r="O165" s="74"/>
      <c r="P165" s="61" t="n">
        <v>45734</v>
      </c>
      <c r="Q165" s="68" t="n">
        <v>45735</v>
      </c>
      <c r="R165" s="2"/>
      <c r="S165" s="3"/>
      <c r="T165" s="3"/>
      <c r="U165" s="3"/>
      <c r="V165" s="3"/>
      <c r="W165" s="3"/>
      <c r="X165" s="3"/>
      <c r="Y165" s="3"/>
      <c r="Z165" s="3"/>
    </row>
    <row r="166" customFormat="false" ht="15.75" hidden="false" customHeight="true" outlineLevel="0" collapsed="false">
      <c r="A166" s="3"/>
      <c r="B166" s="41" t="n">
        <v>143</v>
      </c>
      <c r="C166" s="27" t="s">
        <v>253</v>
      </c>
      <c r="D166" s="27" t="s">
        <v>254</v>
      </c>
      <c r="E166" s="77" t="s">
        <v>259</v>
      </c>
      <c r="F166" s="77" t="s">
        <v>256</v>
      </c>
      <c r="G166" s="42" t="s">
        <v>52</v>
      </c>
      <c r="H166" s="63" t="n">
        <v>28.31</v>
      </c>
      <c r="I166" s="63" t="n">
        <v>7.53</v>
      </c>
      <c r="J166" s="75" t="s">
        <v>180</v>
      </c>
      <c r="K166" s="76" t="n">
        <v>1</v>
      </c>
      <c r="L166" s="30" t="n">
        <f aca="false">(H166+I166)*K166</f>
        <v>35.84</v>
      </c>
      <c r="M166" s="45" t="n">
        <f aca="false">L166-O166</f>
        <v>35.84</v>
      </c>
      <c r="N166" s="74"/>
      <c r="O166" s="74"/>
      <c r="P166" s="61" t="n">
        <v>45765</v>
      </c>
      <c r="Q166" s="68" t="n">
        <v>45735</v>
      </c>
      <c r="R166" s="2"/>
      <c r="S166" s="3"/>
      <c r="T166" s="3"/>
      <c r="U166" s="3"/>
      <c r="V166" s="3"/>
      <c r="W166" s="3"/>
      <c r="X166" s="3"/>
      <c r="Y166" s="3"/>
      <c r="Z166" s="3"/>
    </row>
    <row r="167" customFormat="false" ht="15.75" hidden="false" customHeight="true" outlineLevel="0" collapsed="false">
      <c r="A167" s="3"/>
      <c r="B167" s="41" t="n">
        <v>144</v>
      </c>
      <c r="C167" s="27" t="s">
        <v>260</v>
      </c>
      <c r="D167" s="27" t="s">
        <v>261</v>
      </c>
      <c r="E167" s="77" t="s">
        <v>262</v>
      </c>
      <c r="F167" s="77" t="s">
        <v>263</v>
      </c>
      <c r="G167" s="42" t="s">
        <v>52</v>
      </c>
      <c r="H167" s="63" t="n">
        <v>71.05</v>
      </c>
      <c r="I167" s="63" t="n">
        <v>18.88</v>
      </c>
      <c r="J167" s="75" t="s">
        <v>180</v>
      </c>
      <c r="K167" s="76" t="n">
        <v>1</v>
      </c>
      <c r="L167" s="30" t="n">
        <f aca="false">(H167+I167)*K167</f>
        <v>89.93</v>
      </c>
      <c r="M167" s="45" t="n">
        <f aca="false">L167-O167</f>
        <v>89.93</v>
      </c>
      <c r="N167" s="74"/>
      <c r="O167" s="74"/>
      <c r="P167" s="61" t="n">
        <v>45681</v>
      </c>
      <c r="Q167" s="68" t="n">
        <v>45684</v>
      </c>
      <c r="R167" s="2"/>
      <c r="S167" s="3"/>
      <c r="T167" s="3"/>
      <c r="U167" s="3"/>
      <c r="V167" s="3"/>
      <c r="W167" s="3"/>
      <c r="X167" s="3"/>
      <c r="Y167" s="3"/>
      <c r="Z167" s="3"/>
    </row>
    <row r="168" customFormat="false" ht="15.75" hidden="false" customHeight="true" outlineLevel="0" collapsed="false">
      <c r="A168" s="3"/>
      <c r="B168" s="41" t="n">
        <v>145</v>
      </c>
      <c r="C168" s="27" t="s">
        <v>264</v>
      </c>
      <c r="D168" s="27" t="s">
        <v>265</v>
      </c>
      <c r="E168" s="77" t="s">
        <v>266</v>
      </c>
      <c r="F168" s="77" t="s">
        <v>267</v>
      </c>
      <c r="G168" s="42" t="s">
        <v>52</v>
      </c>
      <c r="H168" s="63" t="n">
        <v>835.56</v>
      </c>
      <c r="I168" s="63" t="n">
        <v>175.47</v>
      </c>
      <c r="J168" s="75" t="s">
        <v>180</v>
      </c>
      <c r="K168" s="76" t="s">
        <v>147</v>
      </c>
      <c r="L168" s="30" t="n">
        <v>1011.03</v>
      </c>
      <c r="M168" s="45" t="n">
        <f aca="false">L168-O168</f>
        <v>0</v>
      </c>
      <c r="N168" s="74"/>
      <c r="O168" s="79" t="n">
        <v>1011.03</v>
      </c>
      <c r="P168" s="61" t="n">
        <v>45815</v>
      </c>
      <c r="Q168" s="68" t="n">
        <v>45842</v>
      </c>
      <c r="R168" s="2"/>
      <c r="S168" s="3"/>
      <c r="T168" s="3"/>
      <c r="U168" s="3"/>
      <c r="V168" s="3"/>
      <c r="W168" s="3"/>
      <c r="X168" s="3"/>
      <c r="Y168" s="3"/>
      <c r="Z168" s="3"/>
    </row>
    <row r="169" customFormat="false" ht="15.75" hidden="false" customHeight="true" outlineLevel="0" collapsed="false">
      <c r="A169" s="3"/>
      <c r="B169" s="41" t="n">
        <v>146</v>
      </c>
      <c r="C169" s="27" t="s">
        <v>268</v>
      </c>
      <c r="D169" s="60" t="s">
        <v>269</v>
      </c>
      <c r="E169" s="77" t="s">
        <v>270</v>
      </c>
      <c r="F169" s="77" t="s">
        <v>271</v>
      </c>
      <c r="G169" s="42" t="s">
        <v>52</v>
      </c>
      <c r="H169" s="63" t="n">
        <v>517.5</v>
      </c>
      <c r="I169" s="63" t="n">
        <v>108.68</v>
      </c>
      <c r="J169" s="76" t="n">
        <v>1</v>
      </c>
      <c r="K169" s="76" t="n">
        <v>1</v>
      </c>
      <c r="L169" s="30" t="n">
        <f aca="false">K169*(H169+I169)</f>
        <v>626.18</v>
      </c>
      <c r="M169" s="45" t="n">
        <f aca="false">L169-O169</f>
        <v>0</v>
      </c>
      <c r="N169" s="74"/>
      <c r="O169" s="74" t="n">
        <f aca="false">L169</f>
        <v>626.18</v>
      </c>
      <c r="P169" s="61" t="n">
        <v>45819</v>
      </c>
      <c r="Q169" s="68" t="n">
        <v>45820</v>
      </c>
      <c r="R169" s="2"/>
      <c r="T169" s="3"/>
      <c r="U169" s="3"/>
      <c r="V169" s="3"/>
      <c r="W169" s="3"/>
      <c r="X169" s="3"/>
      <c r="Y169" s="3"/>
      <c r="Z169" s="3"/>
    </row>
    <row r="170" customFormat="false" ht="15.75" hidden="false" customHeight="true" outlineLevel="0" collapsed="false">
      <c r="A170" s="3"/>
      <c r="B170" s="41" t="n">
        <v>147</v>
      </c>
      <c r="C170" s="27" t="s">
        <v>272</v>
      </c>
      <c r="D170" s="60" t="s">
        <v>273</v>
      </c>
      <c r="E170" s="77" t="s">
        <v>274</v>
      </c>
      <c r="F170" s="77" t="s">
        <v>275</v>
      </c>
      <c r="G170" s="42" t="s">
        <v>52</v>
      </c>
      <c r="H170" s="63" t="n">
        <v>149.9</v>
      </c>
      <c r="I170" s="63" t="n">
        <v>31.48</v>
      </c>
      <c r="J170" s="75" t="s">
        <v>180</v>
      </c>
      <c r="K170" s="76" t="n">
        <v>0.44935</v>
      </c>
      <c r="L170" s="30" t="n">
        <f aca="false">K170*(H170+I170)</f>
        <v>81.503103</v>
      </c>
      <c r="M170" s="45" t="n">
        <f aca="false">L170-O170</f>
        <v>81.503103</v>
      </c>
      <c r="N170" s="74"/>
      <c r="O170" s="74"/>
      <c r="P170" s="61" t="n">
        <v>45858</v>
      </c>
      <c r="Q170" s="68" t="n">
        <v>45860</v>
      </c>
      <c r="R170" s="2"/>
      <c r="S170" s="3"/>
      <c r="T170" s="3"/>
      <c r="U170" s="3"/>
      <c r="V170" s="3"/>
      <c r="W170" s="3"/>
      <c r="X170" s="3"/>
      <c r="Y170" s="3"/>
      <c r="Z170" s="3"/>
    </row>
    <row r="171" customFormat="false" ht="15.75" hidden="false" customHeight="true" outlineLevel="0" collapsed="false">
      <c r="A171" s="3"/>
      <c r="B171" s="41" t="n">
        <v>148</v>
      </c>
      <c r="C171" s="27" t="s">
        <v>276</v>
      </c>
      <c r="D171" s="27" t="s">
        <v>277</v>
      </c>
      <c r="E171" s="77" t="s">
        <v>278</v>
      </c>
      <c r="F171" s="77" t="s">
        <v>279</v>
      </c>
      <c r="G171" s="42" t="s">
        <v>52</v>
      </c>
      <c r="H171" s="63" t="n">
        <v>2892.56</v>
      </c>
      <c r="I171" s="63" t="n">
        <v>607.44</v>
      </c>
      <c r="J171" s="75" t="s">
        <v>180</v>
      </c>
      <c r="K171" s="76" t="s">
        <v>147</v>
      </c>
      <c r="L171" s="30" t="n">
        <v>3500</v>
      </c>
      <c r="M171" s="45" t="n">
        <f aca="false">L171-O171</f>
        <v>0</v>
      </c>
      <c r="N171" s="74"/>
      <c r="O171" s="79" t="n">
        <v>3500</v>
      </c>
      <c r="P171" s="61" t="n">
        <v>46008</v>
      </c>
      <c r="Q171" s="68" t="n">
        <v>46031</v>
      </c>
      <c r="R171" s="2"/>
      <c r="S171" s="3"/>
      <c r="T171" s="3"/>
      <c r="U171" s="3"/>
      <c r="V171" s="3"/>
      <c r="W171" s="3"/>
      <c r="X171" s="3"/>
      <c r="Y171" s="3"/>
      <c r="Z171" s="3"/>
    </row>
    <row r="172" customFormat="false" ht="15.75" hidden="false" customHeight="true" outlineLevel="0" collapsed="false">
      <c r="A172" s="3"/>
      <c r="B172" s="41" t="n">
        <v>149</v>
      </c>
      <c r="C172" s="27" t="s">
        <v>280</v>
      </c>
      <c r="D172" s="27" t="s">
        <v>281</v>
      </c>
      <c r="E172" s="77" t="s">
        <v>282</v>
      </c>
      <c r="F172" s="77" t="s">
        <v>283</v>
      </c>
      <c r="G172" s="42" t="s">
        <v>52</v>
      </c>
      <c r="H172" s="63" t="n">
        <v>2500</v>
      </c>
      <c r="I172" s="63" t="n">
        <v>525</v>
      </c>
      <c r="J172" s="75" t="s">
        <v>180</v>
      </c>
      <c r="K172" s="76" t="s">
        <v>147</v>
      </c>
      <c r="L172" s="30" t="n">
        <v>3025</v>
      </c>
      <c r="M172" s="45" t="n">
        <f aca="false">L172-O172</f>
        <v>0</v>
      </c>
      <c r="N172" s="74"/>
      <c r="O172" s="79" t="n">
        <v>3025</v>
      </c>
      <c r="P172" s="80" t="n">
        <v>46021</v>
      </c>
      <c r="Q172" s="68" t="n">
        <v>46037</v>
      </c>
      <c r="R172" s="2"/>
      <c r="S172" s="3"/>
      <c r="T172" s="3"/>
      <c r="U172" s="3"/>
      <c r="V172" s="3"/>
      <c r="W172" s="3"/>
      <c r="X172" s="3"/>
      <c r="Y172" s="3"/>
      <c r="Z172" s="3"/>
    </row>
    <row r="173" customFormat="false" ht="15.75" hidden="false" customHeight="true" outlineLevel="0" collapsed="false">
      <c r="A173" s="3"/>
      <c r="B173" s="41" t="n">
        <v>150</v>
      </c>
      <c r="C173" s="27" t="s">
        <v>284</v>
      </c>
      <c r="D173" s="81" t="s">
        <v>285</v>
      </c>
      <c r="E173" s="82" t="s">
        <v>286</v>
      </c>
      <c r="F173" s="82" t="s">
        <v>287</v>
      </c>
      <c r="G173" s="42" t="s">
        <v>52</v>
      </c>
      <c r="H173" s="63" t="n">
        <v>125</v>
      </c>
      <c r="I173" s="83" t="n">
        <v>26.25</v>
      </c>
      <c r="J173" s="76" t="n">
        <v>1</v>
      </c>
      <c r="K173" s="76" t="n">
        <v>0.2728</v>
      </c>
      <c r="L173" s="30" t="n">
        <f aca="false">(H173+I173)*K173</f>
        <v>41.261</v>
      </c>
      <c r="M173" s="45" t="n">
        <v>0</v>
      </c>
      <c r="N173" s="74"/>
      <c r="O173" s="74" t="n">
        <f aca="false">L173</f>
        <v>41.261</v>
      </c>
      <c r="P173" s="61" t="n">
        <v>45808</v>
      </c>
      <c r="Q173" s="68" t="n">
        <v>45812</v>
      </c>
      <c r="R173" s="2"/>
      <c r="S173" s="3"/>
      <c r="T173" s="3"/>
      <c r="U173" s="3"/>
      <c r="V173" s="3"/>
      <c r="W173" s="3"/>
      <c r="X173" s="3"/>
      <c r="Y173" s="3"/>
      <c r="Z173" s="3"/>
    </row>
    <row r="174" customFormat="false" ht="15.75" hidden="false" customHeight="true" outlineLevel="0" collapsed="false">
      <c r="A174" s="3"/>
      <c r="B174" s="41" t="n">
        <v>151</v>
      </c>
      <c r="C174" s="27" t="s">
        <v>288</v>
      </c>
      <c r="D174" s="81" t="s">
        <v>289</v>
      </c>
      <c r="E174" s="82" t="s">
        <v>290</v>
      </c>
      <c r="F174" s="82" t="s">
        <v>291</v>
      </c>
      <c r="G174" s="42" t="s">
        <v>55</v>
      </c>
      <c r="H174" s="63" t="n">
        <v>37.13</v>
      </c>
      <c r="I174" s="83"/>
      <c r="J174" s="75"/>
      <c r="K174" s="76" t="n">
        <v>0.578</v>
      </c>
      <c r="L174" s="30" t="n">
        <f aca="false">H174*K174</f>
        <v>21.46114</v>
      </c>
      <c r="M174" s="45" t="n">
        <f aca="false">L174-O174</f>
        <v>21.46114</v>
      </c>
      <c r="N174" s="74"/>
      <c r="O174" s="74"/>
      <c r="P174" s="61" t="n">
        <v>45813</v>
      </c>
      <c r="Q174" s="68" t="n">
        <v>45813</v>
      </c>
      <c r="R174" s="2"/>
      <c r="S174" s="3"/>
      <c r="T174" s="3"/>
      <c r="U174" s="3"/>
      <c r="V174" s="3"/>
      <c r="W174" s="3"/>
      <c r="X174" s="3"/>
      <c r="Y174" s="3"/>
      <c r="Z174" s="3"/>
    </row>
    <row r="175" customFormat="false" ht="15.75" hidden="false" customHeight="true" outlineLevel="0" collapsed="false">
      <c r="A175" s="3"/>
      <c r="B175" s="41" t="n">
        <v>152</v>
      </c>
      <c r="C175" s="27" t="s">
        <v>292</v>
      </c>
      <c r="D175" s="81" t="s">
        <v>293</v>
      </c>
      <c r="E175" s="82" t="s">
        <v>290</v>
      </c>
      <c r="F175" s="82" t="s">
        <v>291</v>
      </c>
      <c r="G175" s="42" t="s">
        <v>55</v>
      </c>
      <c r="H175" s="63" t="n">
        <v>252.4</v>
      </c>
      <c r="I175" s="83"/>
      <c r="J175" s="75"/>
      <c r="K175" s="76" t="n">
        <v>0.5762</v>
      </c>
      <c r="L175" s="30" t="n">
        <f aca="false">H175*K175</f>
        <v>145.43288</v>
      </c>
      <c r="M175" s="45" t="n">
        <f aca="false">L175-O175</f>
        <v>123.02288</v>
      </c>
      <c r="N175" s="74"/>
      <c r="O175" s="74" t="n">
        <v>22.41</v>
      </c>
      <c r="P175" s="61" t="n">
        <v>45794</v>
      </c>
      <c r="Q175" s="68" t="n">
        <v>45806</v>
      </c>
      <c r="R175" s="2"/>
      <c r="S175" s="3"/>
      <c r="T175" s="3"/>
      <c r="U175" s="3"/>
      <c r="V175" s="3"/>
      <c r="W175" s="3"/>
      <c r="X175" s="3"/>
      <c r="Y175" s="3"/>
      <c r="Z175" s="3"/>
    </row>
    <row r="176" customFormat="false" ht="25.3" hidden="false" customHeight="false" outlineLevel="0" collapsed="false">
      <c r="A176" s="3"/>
      <c r="B176" s="41" t="n">
        <v>153</v>
      </c>
      <c r="C176" s="82" t="s">
        <v>294</v>
      </c>
      <c r="D176" s="81" t="s">
        <v>295</v>
      </c>
      <c r="E176" s="82" t="s">
        <v>296</v>
      </c>
      <c r="F176" s="82" t="s">
        <v>297</v>
      </c>
      <c r="G176" s="42" t="s">
        <v>70</v>
      </c>
      <c r="H176" s="84" t="n">
        <v>6765.84</v>
      </c>
      <c r="I176" s="84"/>
      <c r="J176" s="85"/>
      <c r="K176" s="86" t="n">
        <v>1</v>
      </c>
      <c r="L176" s="87" t="n">
        <f aca="false">H176*K176</f>
        <v>6765.84</v>
      </c>
      <c r="M176" s="45" t="n">
        <f aca="false">L176-O176</f>
        <v>256.47</v>
      </c>
      <c r="N176" s="88"/>
      <c r="O176" s="45" t="n">
        <v>6509.37</v>
      </c>
      <c r="P176" s="89" t="n">
        <v>45700</v>
      </c>
      <c r="Q176" s="68" t="n">
        <v>46030</v>
      </c>
      <c r="R176" s="2"/>
      <c r="S176" s="3"/>
      <c r="T176" s="3"/>
      <c r="U176" s="3"/>
      <c r="V176" s="3"/>
      <c r="W176" s="3"/>
      <c r="X176" s="3"/>
      <c r="Y176" s="3"/>
      <c r="Z176" s="3"/>
    </row>
    <row r="177" customFormat="false" ht="15.75" hidden="false" customHeight="true" outlineLevel="0" collapsed="false">
      <c r="A177" s="90"/>
      <c r="B177" s="91"/>
      <c r="C177" s="92"/>
      <c r="D177" s="92"/>
      <c r="E177" s="92"/>
      <c r="F177" s="92"/>
      <c r="G177" s="91"/>
      <c r="H177" s="92"/>
      <c r="I177" s="92"/>
      <c r="J177" s="92"/>
      <c r="K177" s="92"/>
      <c r="L177" s="93"/>
      <c r="M177" s="94"/>
      <c r="N177" s="94"/>
      <c r="O177" s="95"/>
      <c r="P177" s="96"/>
      <c r="Q177" s="96"/>
      <c r="R177" s="97"/>
      <c r="S177" s="90"/>
      <c r="T177" s="90"/>
      <c r="U177" s="90"/>
      <c r="V177" s="90"/>
      <c r="W177" s="90"/>
      <c r="X177" s="90"/>
      <c r="Y177" s="90"/>
      <c r="Z177" s="90"/>
    </row>
    <row r="178" customFormat="false" ht="60" hidden="false" customHeight="true" outlineLevel="0" collapsed="false">
      <c r="A178" s="3"/>
      <c r="B178" s="98"/>
      <c r="C178" s="99"/>
      <c r="D178" s="99"/>
      <c r="E178" s="99"/>
      <c r="F178" s="99"/>
      <c r="G178" s="99"/>
      <c r="H178" s="99"/>
      <c r="I178" s="99"/>
      <c r="J178" s="99"/>
      <c r="K178" s="99"/>
      <c r="L178" s="99"/>
      <c r="M178" s="99"/>
      <c r="N178" s="99"/>
      <c r="O178" s="99"/>
      <c r="P178" s="100"/>
      <c r="Q178" s="100"/>
      <c r="R178" s="2"/>
      <c r="S178" s="3"/>
      <c r="T178" s="3"/>
      <c r="U178" s="3"/>
      <c r="V178" s="3"/>
      <c r="W178" s="3"/>
      <c r="X178" s="3"/>
      <c r="Y178" s="3"/>
      <c r="Z178" s="3"/>
    </row>
    <row r="179" customFormat="false" ht="15.75" hidden="false" customHeight="true" outlineLevel="0" collapsed="false">
      <c r="A179" s="3"/>
      <c r="B179" s="98"/>
      <c r="R179" s="2"/>
      <c r="S179" s="3"/>
      <c r="T179" s="3"/>
      <c r="U179" s="3"/>
      <c r="V179" s="3"/>
      <c r="W179" s="3"/>
      <c r="X179" s="3"/>
      <c r="Y179" s="3"/>
      <c r="Z179" s="3"/>
    </row>
    <row r="180" customFormat="false" ht="27.75" hidden="false" customHeight="true" outlineLevel="0" collapsed="false">
      <c r="A180" s="3"/>
      <c r="B180" s="98"/>
      <c r="C180" s="99"/>
      <c r="D180" s="99"/>
      <c r="E180" s="99"/>
      <c r="F180" s="99"/>
      <c r="G180" s="99"/>
      <c r="H180" s="99"/>
      <c r="I180" s="99"/>
      <c r="J180" s="99"/>
      <c r="K180" s="99"/>
      <c r="L180" s="99"/>
      <c r="M180" s="99"/>
      <c r="N180" s="99"/>
      <c r="O180" s="99"/>
      <c r="P180" s="100"/>
      <c r="Q180" s="100"/>
      <c r="R180" s="2"/>
      <c r="S180" s="3"/>
      <c r="T180" s="3"/>
      <c r="U180" s="3"/>
      <c r="V180" s="3"/>
      <c r="W180" s="3"/>
      <c r="X180" s="3"/>
      <c r="Y180" s="3"/>
      <c r="Z180" s="3"/>
    </row>
    <row r="181" customFormat="false" ht="27.75" hidden="false" customHeight="true" outlineLevel="0" collapsed="false">
      <c r="A181" s="3"/>
      <c r="B181" s="98"/>
      <c r="C181" s="99"/>
      <c r="D181" s="99"/>
      <c r="E181" s="99"/>
      <c r="F181" s="99"/>
      <c r="G181" s="99"/>
      <c r="H181" s="99"/>
      <c r="I181" s="3"/>
      <c r="J181" s="3"/>
      <c r="K181" s="3"/>
      <c r="L181" s="3"/>
      <c r="M181" s="3"/>
      <c r="N181" s="3"/>
      <c r="O181" s="3"/>
      <c r="P181" s="100"/>
      <c r="Q181" s="100"/>
      <c r="R181" s="2"/>
      <c r="S181" s="3"/>
      <c r="T181" s="3"/>
      <c r="U181" s="3"/>
      <c r="V181" s="3"/>
      <c r="W181" s="3"/>
      <c r="X181" s="3"/>
      <c r="Y181" s="3"/>
      <c r="Z181" s="3"/>
    </row>
    <row r="182" customFormat="false" ht="15.75" hidden="false" customHeight="true" outlineLevel="0" collapsed="false">
      <c r="A182" s="3"/>
      <c r="B182" s="98"/>
      <c r="C182" s="99"/>
      <c r="D182" s="99"/>
      <c r="E182" s="99"/>
      <c r="F182" s="99"/>
      <c r="G182" s="3"/>
      <c r="H182" s="3"/>
      <c r="I182" s="3"/>
      <c r="J182" s="3"/>
      <c r="K182" s="3"/>
      <c r="L182" s="3"/>
      <c r="M182" s="3"/>
      <c r="N182" s="3"/>
      <c r="O182" s="3"/>
      <c r="P182" s="99"/>
      <c r="Q182" s="99"/>
      <c r="R182" s="2"/>
      <c r="S182" s="3"/>
      <c r="T182" s="3"/>
      <c r="U182" s="3"/>
      <c r="V182" s="3"/>
      <c r="W182" s="3"/>
      <c r="X182" s="3"/>
      <c r="Y182" s="3"/>
      <c r="Z182" s="3"/>
    </row>
    <row r="183" customFormat="false" ht="15.75" hidden="false" customHeight="true" outlineLevel="0" collapsed="false">
      <c r="A183" s="3"/>
      <c r="B183" s="98"/>
      <c r="C183" s="99"/>
      <c r="D183" s="99"/>
      <c r="E183" s="99"/>
      <c r="F183" s="99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2"/>
      <c r="S183" s="3"/>
      <c r="T183" s="3"/>
      <c r="U183" s="3"/>
      <c r="V183" s="3"/>
      <c r="W183" s="3"/>
      <c r="X183" s="3"/>
      <c r="Y183" s="3"/>
      <c r="Z183" s="3"/>
    </row>
    <row r="184" customFormat="false" ht="15.75" hidden="false" customHeight="true" outlineLevel="0" collapsed="false">
      <c r="A184" s="3"/>
      <c r="B184" s="98"/>
      <c r="C184" s="99"/>
      <c r="D184" s="99"/>
      <c r="E184" s="99"/>
      <c r="F184" s="99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2"/>
      <c r="S184" s="3"/>
      <c r="T184" s="3"/>
      <c r="U184" s="3"/>
      <c r="V184" s="3"/>
      <c r="W184" s="3"/>
      <c r="X184" s="3"/>
      <c r="Y184" s="3"/>
      <c r="Z184" s="3"/>
    </row>
    <row r="185" customFormat="false" ht="15.75" hidden="false" customHeight="true" outlineLevel="0" collapsed="false">
      <c r="A185" s="3"/>
      <c r="B185" s="98"/>
      <c r="C185" s="99"/>
      <c r="D185" s="99"/>
      <c r="E185" s="99"/>
      <c r="F185" s="99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2"/>
      <c r="S185" s="3"/>
      <c r="T185" s="3"/>
      <c r="U185" s="3"/>
      <c r="V185" s="3"/>
      <c r="W185" s="3"/>
      <c r="X185" s="3"/>
      <c r="Y185" s="3"/>
      <c r="Z185" s="3"/>
    </row>
    <row r="186" customFormat="false" ht="15.75" hidden="false" customHeight="true" outlineLevel="0" collapsed="false">
      <c r="A186" s="3"/>
      <c r="B186" s="98"/>
      <c r="C186" s="99"/>
      <c r="D186" s="99"/>
      <c r="E186" s="99"/>
      <c r="F186" s="99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2"/>
      <c r="S186" s="3"/>
      <c r="T186" s="3"/>
      <c r="U186" s="3"/>
      <c r="V186" s="3"/>
      <c r="W186" s="3"/>
      <c r="X186" s="3"/>
      <c r="Y186" s="3"/>
      <c r="Z186" s="3"/>
    </row>
    <row r="187" customFormat="false" ht="15.75" hidden="false" customHeight="true" outlineLevel="0" collapsed="false">
      <c r="A187" s="3"/>
      <c r="B187" s="98"/>
      <c r="C187" s="99"/>
      <c r="D187" s="99"/>
      <c r="E187" s="99"/>
      <c r="F187" s="99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2"/>
      <c r="S187" s="3"/>
      <c r="T187" s="3"/>
      <c r="U187" s="3"/>
      <c r="V187" s="3"/>
      <c r="W187" s="3"/>
      <c r="X187" s="3"/>
      <c r="Y187" s="3"/>
      <c r="Z187" s="3"/>
    </row>
    <row r="188" customFormat="false" ht="15.75" hidden="false" customHeight="true" outlineLevel="0" collapsed="false">
      <c r="A188" s="3"/>
      <c r="B188" s="98"/>
      <c r="C188" s="99"/>
      <c r="D188" s="99"/>
      <c r="E188" s="99"/>
      <c r="F188" s="99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2"/>
      <c r="S188" s="3"/>
      <c r="T188" s="3"/>
      <c r="U188" s="3"/>
      <c r="V188" s="3"/>
      <c r="W188" s="3"/>
      <c r="X188" s="3"/>
      <c r="Y188" s="3"/>
      <c r="Z188" s="3"/>
    </row>
    <row r="189" customFormat="false" ht="15.75" hidden="false" customHeight="true" outlineLevel="0" collapsed="false">
      <c r="A189" s="3"/>
      <c r="B189" s="98"/>
      <c r="C189" s="99"/>
      <c r="D189" s="99"/>
      <c r="E189" s="99"/>
      <c r="F189" s="99"/>
      <c r="G189" s="3"/>
      <c r="H189" s="3"/>
      <c r="I189" s="3"/>
      <c r="J189" s="3"/>
      <c r="K189" s="3"/>
      <c r="L189" s="3"/>
      <c r="M189" s="3"/>
      <c r="N189" s="3"/>
      <c r="O189" s="3"/>
      <c r="P189" s="100"/>
      <c r="Q189" s="100"/>
      <c r="R189" s="2"/>
      <c r="S189" s="3"/>
      <c r="T189" s="3"/>
      <c r="U189" s="3"/>
      <c r="V189" s="3"/>
      <c r="W189" s="3"/>
      <c r="X189" s="3"/>
      <c r="Y189" s="3"/>
      <c r="Z189" s="3"/>
    </row>
    <row r="190" customFormat="false" ht="15.75" hidden="false" customHeight="true" outlineLevel="0" collapsed="false">
      <c r="A190" s="3"/>
      <c r="B190" s="98"/>
      <c r="C190" s="99"/>
      <c r="D190" s="99"/>
      <c r="E190" s="99"/>
      <c r="F190" s="99"/>
      <c r="G190" s="3"/>
      <c r="H190" s="3"/>
      <c r="I190" s="3"/>
      <c r="J190" s="3"/>
      <c r="K190" s="3"/>
      <c r="L190" s="3"/>
      <c r="M190" s="3"/>
      <c r="N190" s="3"/>
      <c r="O190" s="3"/>
      <c r="P190" s="100"/>
      <c r="Q190" s="100"/>
      <c r="R190" s="2"/>
      <c r="S190" s="3"/>
      <c r="T190" s="3"/>
      <c r="U190" s="3"/>
      <c r="V190" s="3"/>
      <c r="W190" s="3"/>
      <c r="X190" s="3"/>
      <c r="Y190" s="3"/>
      <c r="Z190" s="3"/>
    </row>
    <row r="191" customFormat="false" ht="29.25" hidden="false" customHeight="true" outlineLevel="0" collapsed="false">
      <c r="A191" s="101"/>
      <c r="B191" s="98"/>
      <c r="C191" s="102"/>
      <c r="D191" s="102"/>
      <c r="E191" s="102"/>
      <c r="F191" s="102"/>
      <c r="G191" s="101"/>
      <c r="H191" s="101"/>
      <c r="I191" s="101"/>
      <c r="J191" s="101"/>
      <c r="K191" s="101"/>
      <c r="L191" s="101"/>
      <c r="M191" s="101"/>
      <c r="N191" s="101"/>
      <c r="O191" s="101"/>
      <c r="P191" s="103"/>
      <c r="Q191" s="103"/>
      <c r="R191" s="104"/>
      <c r="S191" s="101"/>
      <c r="T191" s="101"/>
      <c r="U191" s="101"/>
      <c r="V191" s="101"/>
      <c r="W191" s="101"/>
      <c r="X191" s="101"/>
      <c r="Y191" s="101"/>
      <c r="Z191" s="101"/>
    </row>
    <row r="192" customFormat="false" ht="30" hidden="false" customHeight="true" outlineLevel="0" collapsed="false">
      <c r="A192" s="3"/>
      <c r="B192" s="3"/>
      <c r="C192" s="105"/>
      <c r="D192" s="105"/>
      <c r="E192" s="105"/>
      <c r="F192" s="105"/>
      <c r="G192" s="105"/>
      <c r="H192" s="105"/>
      <c r="I192" s="105"/>
      <c r="J192" s="3"/>
      <c r="K192" s="3"/>
      <c r="L192" s="3"/>
      <c r="M192" s="3"/>
      <c r="N192" s="3"/>
      <c r="O192" s="3"/>
      <c r="P192" s="3"/>
      <c r="Q192" s="3"/>
      <c r="R192" s="2"/>
      <c r="S192" s="3"/>
      <c r="T192" s="3"/>
      <c r="U192" s="3"/>
      <c r="V192" s="3"/>
      <c r="W192" s="3"/>
      <c r="X192" s="3"/>
      <c r="Y192" s="3"/>
      <c r="Z192" s="3"/>
    </row>
    <row r="193" customFormat="false" ht="27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2"/>
      <c r="S193" s="3"/>
      <c r="T193" s="3"/>
      <c r="U193" s="3"/>
      <c r="V193" s="3"/>
      <c r="W193" s="3"/>
      <c r="X193" s="3"/>
      <c r="Y193" s="3"/>
      <c r="Z193" s="3"/>
    </row>
    <row r="194" customFormat="false" ht="21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2"/>
      <c r="S194" s="3"/>
      <c r="T194" s="3"/>
      <c r="U194" s="3"/>
      <c r="V194" s="3"/>
      <c r="W194" s="3"/>
      <c r="X194" s="3"/>
      <c r="Y194" s="3"/>
      <c r="Z194" s="3"/>
    </row>
    <row r="195" customFormat="false" ht="31.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2"/>
      <c r="S195" s="3"/>
      <c r="T195" s="3"/>
      <c r="U195" s="3"/>
      <c r="V195" s="3"/>
      <c r="W195" s="3"/>
      <c r="X195" s="3"/>
      <c r="Y195" s="3"/>
      <c r="Z195" s="3"/>
    </row>
    <row r="196" customFormat="false" ht="36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2"/>
      <c r="S196" s="3"/>
      <c r="T196" s="3"/>
      <c r="U196" s="3"/>
      <c r="V196" s="3"/>
      <c r="W196" s="3"/>
      <c r="X196" s="3"/>
      <c r="Y196" s="3"/>
      <c r="Z196" s="3"/>
    </row>
    <row r="197" customFormat="false" ht="27.7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2"/>
      <c r="S197" s="3"/>
      <c r="T197" s="3"/>
      <c r="U197" s="3"/>
      <c r="V197" s="3"/>
      <c r="W197" s="3"/>
      <c r="X197" s="3"/>
      <c r="Y197" s="3"/>
      <c r="Z197" s="3"/>
    </row>
    <row r="198" customFormat="false" ht="15.7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2"/>
      <c r="S198" s="3"/>
      <c r="T198" s="3"/>
      <c r="U198" s="3"/>
      <c r="V198" s="3"/>
      <c r="W198" s="3"/>
      <c r="X198" s="3"/>
      <c r="Y198" s="3"/>
      <c r="Z198" s="3"/>
    </row>
    <row r="199" customFormat="false" ht="15.7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2"/>
      <c r="S199" s="3"/>
      <c r="T199" s="3"/>
      <c r="U199" s="3"/>
      <c r="V199" s="3"/>
      <c r="W199" s="3"/>
      <c r="X199" s="3"/>
      <c r="Y199" s="3"/>
      <c r="Z199" s="3"/>
    </row>
    <row r="200" customFormat="false" ht="15.7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2"/>
      <c r="S200" s="3"/>
      <c r="T200" s="3"/>
      <c r="U200" s="3"/>
      <c r="V200" s="3"/>
      <c r="W200" s="3"/>
      <c r="X200" s="3"/>
      <c r="Y200" s="3"/>
      <c r="Z200" s="3"/>
    </row>
    <row r="201" customFormat="false" ht="15.7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2"/>
      <c r="S201" s="3"/>
      <c r="T201" s="3"/>
      <c r="U201" s="3"/>
      <c r="V201" s="3"/>
      <c r="W201" s="3"/>
      <c r="X201" s="3"/>
      <c r="Y201" s="3"/>
      <c r="Z201" s="3"/>
    </row>
    <row r="202" customFormat="false" ht="15.7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2"/>
      <c r="S202" s="3"/>
      <c r="T202" s="3"/>
      <c r="U202" s="3"/>
      <c r="V202" s="3"/>
      <c r="W202" s="3"/>
      <c r="X202" s="3"/>
      <c r="Y202" s="3"/>
      <c r="Z202" s="3"/>
    </row>
    <row r="203" customFormat="false" ht="15.7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2"/>
      <c r="S203" s="3"/>
      <c r="T203" s="3"/>
      <c r="U203" s="3"/>
      <c r="V203" s="3"/>
      <c r="W203" s="3"/>
      <c r="X203" s="3"/>
      <c r="Y203" s="3"/>
      <c r="Z203" s="3"/>
    </row>
    <row r="204" customFormat="false" ht="15.7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2"/>
      <c r="S204" s="3"/>
      <c r="T204" s="3"/>
      <c r="U204" s="3"/>
      <c r="V204" s="3"/>
      <c r="W204" s="3"/>
      <c r="X204" s="3"/>
      <c r="Y204" s="3"/>
      <c r="Z204" s="3"/>
    </row>
    <row r="205" customFormat="false" ht="15.7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2"/>
      <c r="S205" s="3"/>
      <c r="T205" s="3"/>
      <c r="U205" s="3"/>
      <c r="V205" s="3"/>
      <c r="W205" s="3"/>
      <c r="X205" s="3"/>
      <c r="Y205" s="3"/>
      <c r="Z205" s="3"/>
    </row>
    <row r="206" customFormat="false" ht="15.7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2"/>
      <c r="S206" s="3"/>
      <c r="T206" s="3"/>
      <c r="U206" s="3"/>
      <c r="V206" s="3"/>
      <c r="W206" s="3"/>
      <c r="X206" s="3"/>
      <c r="Y206" s="3"/>
      <c r="Z206" s="3"/>
    </row>
    <row r="207" customFormat="false" ht="15.7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2"/>
      <c r="S207" s="3"/>
      <c r="T207" s="3"/>
      <c r="U207" s="3"/>
      <c r="V207" s="3"/>
      <c r="W207" s="3"/>
      <c r="X207" s="3"/>
      <c r="Y207" s="3"/>
      <c r="Z207" s="3"/>
    </row>
    <row r="208" customFormat="false" ht="15.7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2"/>
      <c r="S208" s="3"/>
      <c r="T208" s="3"/>
      <c r="U208" s="3"/>
      <c r="V208" s="3"/>
      <c r="W208" s="3"/>
      <c r="X208" s="3"/>
      <c r="Y208" s="3"/>
      <c r="Z208" s="3"/>
    </row>
    <row r="209" customFormat="false" ht="15.7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2"/>
      <c r="S209" s="3"/>
      <c r="T209" s="3"/>
      <c r="U209" s="3"/>
      <c r="V209" s="3"/>
      <c r="W209" s="3"/>
      <c r="X209" s="3"/>
      <c r="Y209" s="3"/>
      <c r="Z209" s="3"/>
    </row>
    <row r="210" customFormat="false" ht="15.7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2"/>
      <c r="S210" s="3"/>
      <c r="T210" s="3"/>
      <c r="U210" s="3"/>
      <c r="V210" s="3"/>
      <c r="W210" s="3"/>
      <c r="X210" s="3"/>
      <c r="Y210" s="3"/>
      <c r="Z210" s="3"/>
    </row>
    <row r="211" customFormat="false" ht="15.7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2"/>
      <c r="S211" s="3"/>
      <c r="T211" s="3"/>
      <c r="U211" s="3"/>
      <c r="V211" s="3"/>
      <c r="W211" s="3"/>
      <c r="X211" s="3"/>
      <c r="Y211" s="3"/>
      <c r="Z211" s="3"/>
    </row>
    <row r="212" customFormat="false" ht="15.7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2"/>
      <c r="S212" s="3"/>
      <c r="T212" s="3"/>
      <c r="U212" s="3"/>
      <c r="V212" s="3"/>
      <c r="W212" s="3"/>
      <c r="X212" s="3"/>
      <c r="Y212" s="3"/>
      <c r="Z212" s="3"/>
    </row>
    <row r="213" customFormat="false" ht="15.7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2"/>
      <c r="S213" s="3"/>
      <c r="T213" s="3"/>
      <c r="U213" s="3"/>
      <c r="V213" s="3"/>
      <c r="W213" s="3"/>
      <c r="X213" s="3"/>
      <c r="Y213" s="3"/>
      <c r="Z213" s="3"/>
    </row>
    <row r="214" customFormat="false" ht="15.7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2"/>
      <c r="S214" s="3"/>
      <c r="T214" s="3"/>
      <c r="U214" s="3"/>
      <c r="V214" s="3"/>
      <c r="W214" s="3"/>
      <c r="X214" s="3"/>
      <c r="Y214" s="3"/>
      <c r="Z214" s="3"/>
    </row>
    <row r="215" customFormat="false" ht="15.7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2"/>
      <c r="S215" s="3"/>
      <c r="T215" s="3"/>
      <c r="U215" s="3"/>
      <c r="V215" s="3"/>
      <c r="W215" s="3"/>
      <c r="X215" s="3"/>
      <c r="Y215" s="3"/>
      <c r="Z215" s="3"/>
    </row>
    <row r="216" customFormat="false" ht="15.7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2"/>
      <c r="S216" s="3"/>
      <c r="T216" s="3"/>
      <c r="U216" s="3"/>
      <c r="V216" s="3"/>
      <c r="W216" s="3"/>
      <c r="X216" s="3"/>
      <c r="Y216" s="3"/>
      <c r="Z216" s="3"/>
    </row>
    <row r="217" customFormat="false" ht="15.7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2"/>
      <c r="S217" s="3"/>
      <c r="T217" s="3"/>
      <c r="U217" s="3"/>
      <c r="V217" s="3"/>
      <c r="W217" s="3"/>
      <c r="X217" s="3"/>
      <c r="Y217" s="3"/>
      <c r="Z217" s="3"/>
    </row>
    <row r="218" customFormat="false" ht="15.7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2"/>
      <c r="S218" s="3"/>
      <c r="T218" s="3"/>
      <c r="U218" s="3"/>
      <c r="V218" s="3"/>
      <c r="W218" s="3"/>
      <c r="X218" s="3"/>
      <c r="Y218" s="3"/>
      <c r="Z218" s="3"/>
    </row>
    <row r="219" customFormat="false" ht="15.7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2"/>
      <c r="S219" s="3"/>
      <c r="T219" s="3"/>
      <c r="U219" s="3"/>
      <c r="V219" s="3"/>
      <c r="W219" s="3"/>
      <c r="X219" s="3"/>
      <c r="Y219" s="3"/>
      <c r="Z219" s="3"/>
    </row>
    <row r="220" customFormat="false" ht="15.7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2"/>
      <c r="S220" s="3"/>
      <c r="T220" s="3"/>
      <c r="U220" s="3"/>
      <c r="V220" s="3"/>
      <c r="W220" s="3"/>
      <c r="X220" s="3"/>
      <c r="Y220" s="3"/>
      <c r="Z220" s="3"/>
    </row>
    <row r="221" customFormat="false" ht="15.7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2"/>
      <c r="S221" s="3"/>
      <c r="T221" s="3"/>
      <c r="U221" s="3"/>
      <c r="V221" s="3"/>
      <c r="W221" s="3"/>
      <c r="X221" s="3"/>
      <c r="Y221" s="3"/>
      <c r="Z221" s="3"/>
    </row>
    <row r="222" customFormat="false" ht="15.7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2"/>
      <c r="S222" s="3"/>
      <c r="T222" s="3"/>
      <c r="U222" s="3"/>
      <c r="V222" s="3"/>
      <c r="W222" s="3"/>
      <c r="X222" s="3"/>
      <c r="Y222" s="3"/>
      <c r="Z222" s="3"/>
    </row>
    <row r="223" customFormat="false" ht="15.7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2"/>
      <c r="S223" s="3"/>
      <c r="T223" s="3"/>
      <c r="U223" s="3"/>
      <c r="V223" s="3"/>
      <c r="W223" s="3"/>
      <c r="X223" s="3"/>
      <c r="Y223" s="3"/>
      <c r="Z223" s="3"/>
    </row>
    <row r="224" customFormat="false" ht="15.7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2"/>
      <c r="S224" s="3"/>
      <c r="T224" s="3"/>
      <c r="U224" s="3"/>
      <c r="V224" s="3"/>
      <c r="W224" s="3"/>
      <c r="X224" s="3"/>
      <c r="Y224" s="3"/>
      <c r="Z224" s="3"/>
    </row>
    <row r="225" customFormat="false" ht="15.7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2"/>
      <c r="S225" s="3"/>
      <c r="T225" s="3"/>
      <c r="U225" s="3"/>
      <c r="V225" s="3"/>
      <c r="W225" s="3"/>
      <c r="X225" s="3"/>
      <c r="Y225" s="3"/>
      <c r="Z225" s="3"/>
    </row>
    <row r="226" customFormat="false" ht="15.7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2"/>
      <c r="S226" s="3"/>
      <c r="T226" s="3"/>
      <c r="U226" s="3"/>
      <c r="V226" s="3"/>
      <c r="W226" s="3"/>
      <c r="X226" s="3"/>
      <c r="Y226" s="3"/>
      <c r="Z226" s="3"/>
    </row>
    <row r="227" customFormat="false" ht="15.7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2"/>
      <c r="S227" s="3"/>
      <c r="T227" s="3"/>
      <c r="U227" s="3"/>
      <c r="V227" s="3"/>
      <c r="W227" s="3"/>
      <c r="X227" s="3"/>
      <c r="Y227" s="3"/>
      <c r="Z227" s="3"/>
    </row>
    <row r="228" customFormat="false" ht="15.7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2"/>
      <c r="S228" s="3"/>
      <c r="T228" s="3"/>
      <c r="U228" s="3"/>
      <c r="V228" s="3"/>
      <c r="W228" s="3"/>
      <c r="X228" s="3"/>
      <c r="Y228" s="3"/>
      <c r="Z228" s="3"/>
    </row>
    <row r="229" customFormat="false" ht="15.7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2"/>
      <c r="S229" s="3"/>
      <c r="T229" s="3"/>
      <c r="U229" s="3"/>
      <c r="V229" s="3"/>
      <c r="W229" s="3"/>
      <c r="X229" s="3"/>
      <c r="Y229" s="3"/>
      <c r="Z229" s="3"/>
    </row>
    <row r="230" customFormat="false" ht="15.7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2"/>
      <c r="S230" s="3"/>
      <c r="T230" s="3"/>
      <c r="U230" s="3"/>
      <c r="V230" s="3"/>
      <c r="W230" s="3"/>
      <c r="X230" s="3"/>
      <c r="Y230" s="3"/>
      <c r="Z230" s="3"/>
    </row>
    <row r="231" customFormat="false" ht="15.7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2"/>
      <c r="S231" s="3"/>
      <c r="T231" s="3"/>
      <c r="U231" s="3"/>
      <c r="V231" s="3"/>
      <c r="W231" s="3"/>
      <c r="X231" s="3"/>
      <c r="Y231" s="3"/>
      <c r="Z231" s="3"/>
    </row>
    <row r="232" customFormat="false" ht="15.7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2"/>
      <c r="S232" s="3"/>
      <c r="T232" s="3"/>
      <c r="U232" s="3"/>
      <c r="V232" s="3"/>
      <c r="W232" s="3"/>
      <c r="X232" s="3"/>
      <c r="Y232" s="3"/>
      <c r="Z232" s="3"/>
    </row>
    <row r="233" customFormat="false" ht="15.7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2"/>
      <c r="S233" s="3"/>
      <c r="T233" s="3"/>
      <c r="U233" s="3"/>
      <c r="V233" s="3"/>
      <c r="W233" s="3"/>
      <c r="X233" s="3"/>
      <c r="Y233" s="3"/>
      <c r="Z233" s="3"/>
    </row>
    <row r="234" customFormat="false" ht="15.7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2"/>
      <c r="S234" s="3"/>
      <c r="T234" s="3"/>
      <c r="U234" s="3"/>
      <c r="V234" s="3"/>
      <c r="W234" s="3"/>
      <c r="X234" s="3"/>
      <c r="Y234" s="3"/>
      <c r="Z234" s="3"/>
    </row>
    <row r="235" customFormat="false" ht="15.7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2"/>
      <c r="S235" s="3"/>
      <c r="T235" s="3"/>
      <c r="U235" s="3"/>
      <c r="V235" s="3"/>
      <c r="W235" s="3"/>
      <c r="X235" s="3"/>
      <c r="Y235" s="3"/>
      <c r="Z235" s="3"/>
    </row>
    <row r="236" customFormat="false" ht="15.7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2"/>
      <c r="S236" s="3"/>
      <c r="T236" s="3"/>
      <c r="U236" s="3"/>
      <c r="V236" s="3"/>
      <c r="W236" s="3"/>
      <c r="X236" s="3"/>
      <c r="Y236" s="3"/>
      <c r="Z236" s="3"/>
    </row>
    <row r="237" customFormat="false" ht="15.7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2"/>
      <c r="S237" s="3"/>
      <c r="T237" s="3"/>
      <c r="U237" s="3"/>
      <c r="V237" s="3"/>
      <c r="W237" s="3"/>
      <c r="X237" s="3"/>
      <c r="Y237" s="3"/>
      <c r="Z237" s="3"/>
    </row>
    <row r="238" customFormat="false" ht="15.7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2"/>
      <c r="S238" s="3"/>
      <c r="T238" s="3"/>
      <c r="U238" s="3"/>
      <c r="V238" s="3"/>
      <c r="W238" s="3"/>
      <c r="X238" s="3"/>
      <c r="Y238" s="3"/>
      <c r="Z238" s="3"/>
    </row>
    <row r="239" customFormat="false" ht="15.7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2"/>
      <c r="S239" s="3"/>
      <c r="T239" s="3"/>
      <c r="U239" s="3"/>
      <c r="V239" s="3"/>
      <c r="W239" s="3"/>
      <c r="X239" s="3"/>
      <c r="Y239" s="3"/>
      <c r="Z239" s="3"/>
    </row>
    <row r="240" customFormat="false" ht="15.7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2"/>
      <c r="S240" s="3"/>
      <c r="T240" s="3"/>
      <c r="U240" s="3"/>
      <c r="V240" s="3"/>
      <c r="W240" s="3"/>
      <c r="X240" s="3"/>
      <c r="Y240" s="3"/>
      <c r="Z240" s="3"/>
    </row>
    <row r="241" customFormat="false" ht="15.7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2"/>
      <c r="S241" s="3"/>
      <c r="T241" s="3"/>
      <c r="U241" s="3"/>
      <c r="V241" s="3"/>
      <c r="W241" s="3"/>
      <c r="X241" s="3"/>
      <c r="Y241" s="3"/>
      <c r="Z241" s="3"/>
    </row>
    <row r="242" customFormat="false" ht="15.7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2"/>
      <c r="S242" s="3"/>
      <c r="T242" s="3"/>
      <c r="U242" s="3"/>
      <c r="V242" s="3"/>
      <c r="W242" s="3"/>
      <c r="X242" s="3"/>
      <c r="Y242" s="3"/>
      <c r="Z242" s="3"/>
    </row>
    <row r="243" customFormat="false" ht="15.7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2"/>
      <c r="S243" s="3"/>
      <c r="T243" s="3"/>
      <c r="U243" s="3"/>
      <c r="V243" s="3"/>
      <c r="W243" s="3"/>
      <c r="X243" s="3"/>
      <c r="Y243" s="3"/>
      <c r="Z243" s="3"/>
    </row>
    <row r="244" customFormat="false" ht="15.7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2"/>
      <c r="S244" s="3"/>
      <c r="T244" s="3"/>
      <c r="U244" s="3"/>
      <c r="V244" s="3"/>
      <c r="W244" s="3"/>
      <c r="X244" s="3"/>
      <c r="Y244" s="3"/>
      <c r="Z244" s="3"/>
    </row>
    <row r="245" customFormat="false" ht="15.7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2"/>
      <c r="S245" s="3"/>
      <c r="T245" s="3"/>
      <c r="U245" s="3"/>
      <c r="V245" s="3"/>
      <c r="W245" s="3"/>
      <c r="X245" s="3"/>
      <c r="Y245" s="3"/>
      <c r="Z245" s="3"/>
    </row>
    <row r="246" customFormat="false" ht="15.7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2"/>
      <c r="S246" s="3"/>
      <c r="T246" s="3"/>
      <c r="U246" s="3"/>
      <c r="V246" s="3"/>
      <c r="W246" s="3"/>
      <c r="X246" s="3"/>
      <c r="Y246" s="3"/>
      <c r="Z246" s="3"/>
    </row>
    <row r="247" customFormat="false" ht="15.7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2"/>
      <c r="S247" s="3"/>
      <c r="T247" s="3"/>
      <c r="U247" s="3"/>
      <c r="V247" s="3"/>
      <c r="W247" s="3"/>
      <c r="X247" s="3"/>
      <c r="Y247" s="3"/>
      <c r="Z247" s="3"/>
    </row>
    <row r="248" customFormat="false" ht="15.7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2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2"/>
      <c r="S249" s="3"/>
      <c r="T249" s="3"/>
      <c r="U249" s="3"/>
      <c r="V249" s="3"/>
      <c r="W249" s="3"/>
      <c r="X249" s="3"/>
      <c r="Y249" s="3"/>
      <c r="Z249" s="3"/>
    </row>
    <row r="250" customFormat="false" ht="15.75" hidden="false" customHeight="true" outlineLevel="0" collapsed="false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2"/>
      <c r="S250" s="3"/>
      <c r="T250" s="3"/>
      <c r="U250" s="3"/>
      <c r="V250" s="3"/>
      <c r="W250" s="3"/>
      <c r="X250" s="3"/>
      <c r="Y250" s="3"/>
      <c r="Z250" s="3"/>
    </row>
    <row r="251" customFormat="false" ht="15.75" hidden="false" customHeight="true" outlineLevel="0" collapsed="false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2"/>
      <c r="S251" s="3"/>
      <c r="T251" s="3"/>
      <c r="U251" s="3"/>
      <c r="V251" s="3"/>
      <c r="W251" s="3"/>
      <c r="X251" s="3"/>
      <c r="Y251" s="3"/>
      <c r="Z251" s="3"/>
    </row>
    <row r="252" customFormat="false" ht="15.75" hidden="false" customHeight="true" outlineLevel="0" collapsed="false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2"/>
      <c r="S252" s="3"/>
      <c r="T252" s="3"/>
      <c r="U252" s="3"/>
      <c r="V252" s="3"/>
      <c r="W252" s="3"/>
      <c r="X252" s="3"/>
      <c r="Y252" s="3"/>
      <c r="Z252" s="3"/>
    </row>
    <row r="253" customFormat="false" ht="15.75" hidden="false" customHeight="true" outlineLevel="0" collapsed="false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2"/>
      <c r="S253" s="3"/>
      <c r="T253" s="3"/>
      <c r="U253" s="3"/>
      <c r="V253" s="3"/>
      <c r="W253" s="3"/>
      <c r="X253" s="3"/>
      <c r="Y253" s="3"/>
      <c r="Z253" s="3"/>
    </row>
    <row r="254" customFormat="false" ht="15.75" hidden="false" customHeight="true" outlineLevel="0" collapsed="false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2"/>
      <c r="S254" s="3"/>
      <c r="T254" s="3"/>
      <c r="U254" s="3"/>
      <c r="V254" s="3"/>
      <c r="W254" s="3"/>
      <c r="X254" s="3"/>
      <c r="Y254" s="3"/>
      <c r="Z254" s="3"/>
    </row>
    <row r="255" customFormat="false" ht="15.75" hidden="false" customHeight="true" outlineLevel="0" collapsed="false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2"/>
      <c r="S255" s="3"/>
      <c r="T255" s="3"/>
      <c r="U255" s="3"/>
      <c r="V255" s="3"/>
      <c r="W255" s="3"/>
      <c r="X255" s="3"/>
      <c r="Y255" s="3"/>
      <c r="Z255" s="3"/>
    </row>
    <row r="256" customFormat="false" ht="15.75" hidden="false" customHeight="true" outlineLevel="0" collapsed="false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2"/>
      <c r="S256" s="3"/>
      <c r="T256" s="3"/>
      <c r="U256" s="3"/>
      <c r="V256" s="3"/>
      <c r="W256" s="3"/>
      <c r="X256" s="3"/>
      <c r="Y256" s="3"/>
      <c r="Z256" s="3"/>
    </row>
    <row r="257" customFormat="false" ht="15.75" hidden="false" customHeight="true" outlineLevel="0" collapsed="false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2"/>
      <c r="S257" s="3"/>
      <c r="T257" s="3"/>
      <c r="U257" s="3"/>
      <c r="V257" s="3"/>
      <c r="W257" s="3"/>
      <c r="X257" s="3"/>
      <c r="Y257" s="3"/>
      <c r="Z257" s="3"/>
    </row>
    <row r="258" customFormat="false" ht="15.75" hidden="false" customHeight="true" outlineLevel="0" collapsed="false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2"/>
      <c r="S258" s="3"/>
      <c r="T258" s="3"/>
      <c r="U258" s="3"/>
      <c r="V258" s="3"/>
      <c r="W258" s="3"/>
      <c r="X258" s="3"/>
      <c r="Y258" s="3"/>
      <c r="Z258" s="3"/>
    </row>
    <row r="259" customFormat="false" ht="15.75" hidden="false" customHeight="true" outlineLevel="0" collapsed="false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2"/>
      <c r="S259" s="3"/>
      <c r="T259" s="3"/>
      <c r="U259" s="3"/>
      <c r="V259" s="3"/>
      <c r="W259" s="3"/>
      <c r="X259" s="3"/>
      <c r="Y259" s="3"/>
      <c r="Z259" s="3"/>
    </row>
    <row r="260" customFormat="false" ht="15.75" hidden="false" customHeight="true" outlineLevel="0" collapsed="false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2"/>
      <c r="S260" s="3"/>
      <c r="T260" s="3"/>
      <c r="U260" s="3"/>
      <c r="V260" s="3"/>
      <c r="W260" s="3"/>
      <c r="X260" s="3"/>
      <c r="Y260" s="3"/>
      <c r="Z260" s="3"/>
    </row>
    <row r="261" customFormat="false" ht="15.75" hidden="false" customHeight="true" outlineLevel="0" collapsed="false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2"/>
      <c r="S261" s="3"/>
      <c r="T261" s="3"/>
      <c r="U261" s="3"/>
      <c r="V261" s="3"/>
      <c r="W261" s="3"/>
      <c r="X261" s="3"/>
      <c r="Y261" s="3"/>
      <c r="Z261" s="3"/>
    </row>
    <row r="262" customFormat="false" ht="15.75" hidden="false" customHeight="true" outlineLevel="0" collapsed="false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2"/>
      <c r="S262" s="3"/>
      <c r="T262" s="3"/>
      <c r="U262" s="3"/>
      <c r="V262" s="3"/>
      <c r="W262" s="3"/>
      <c r="X262" s="3"/>
      <c r="Y262" s="3"/>
      <c r="Z262" s="3"/>
    </row>
    <row r="263" customFormat="false" ht="15.75" hidden="false" customHeight="true" outlineLevel="0" collapsed="false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2"/>
      <c r="S263" s="3"/>
      <c r="T263" s="3"/>
      <c r="U263" s="3"/>
      <c r="V263" s="3"/>
      <c r="W263" s="3"/>
      <c r="X263" s="3"/>
      <c r="Y263" s="3"/>
      <c r="Z263" s="3"/>
    </row>
    <row r="264" customFormat="false" ht="15.75" hidden="false" customHeight="true" outlineLevel="0" collapsed="false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2"/>
      <c r="S264" s="3"/>
      <c r="T264" s="3"/>
      <c r="U264" s="3"/>
      <c r="V264" s="3"/>
      <c r="W264" s="3"/>
      <c r="X264" s="3"/>
      <c r="Y264" s="3"/>
      <c r="Z264" s="3"/>
    </row>
    <row r="265" customFormat="false" ht="15.75" hidden="false" customHeight="true" outlineLevel="0" collapsed="false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2"/>
      <c r="S265" s="3"/>
      <c r="T265" s="3"/>
      <c r="U265" s="3"/>
      <c r="V265" s="3"/>
      <c r="W265" s="3"/>
      <c r="X265" s="3"/>
      <c r="Y265" s="3"/>
      <c r="Z265" s="3"/>
    </row>
    <row r="266" customFormat="false" ht="15.75" hidden="false" customHeight="true" outlineLevel="0" collapsed="false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2"/>
      <c r="S266" s="3"/>
      <c r="T266" s="3"/>
      <c r="U266" s="3"/>
      <c r="V266" s="3"/>
      <c r="W266" s="3"/>
      <c r="X266" s="3"/>
      <c r="Y266" s="3"/>
      <c r="Z266" s="3"/>
    </row>
    <row r="267" customFormat="false" ht="15.75" hidden="false" customHeight="true" outlineLevel="0" collapsed="false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2"/>
      <c r="S267" s="3"/>
      <c r="T267" s="3"/>
      <c r="U267" s="3"/>
      <c r="V267" s="3"/>
      <c r="W267" s="3"/>
      <c r="X267" s="3"/>
      <c r="Y267" s="3"/>
      <c r="Z267" s="3"/>
    </row>
    <row r="268" customFormat="false" ht="15.75" hidden="false" customHeight="true" outlineLevel="0" collapsed="false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2"/>
      <c r="S268" s="3"/>
      <c r="T268" s="3"/>
      <c r="U268" s="3"/>
      <c r="V268" s="3"/>
      <c r="W268" s="3"/>
      <c r="X268" s="3"/>
      <c r="Y268" s="3"/>
      <c r="Z268" s="3"/>
    </row>
    <row r="269" customFormat="false" ht="15.75" hidden="false" customHeight="true" outlineLevel="0" collapsed="false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2"/>
      <c r="S269" s="3"/>
      <c r="T269" s="3"/>
      <c r="U269" s="3"/>
      <c r="V269" s="3"/>
      <c r="W269" s="3"/>
      <c r="X269" s="3"/>
      <c r="Y269" s="3"/>
      <c r="Z269" s="3"/>
    </row>
    <row r="270" customFormat="false" ht="15.75" hidden="false" customHeight="true" outlineLevel="0" collapsed="false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2"/>
      <c r="S270" s="3"/>
      <c r="T270" s="3"/>
      <c r="U270" s="3"/>
      <c r="V270" s="3"/>
      <c r="W270" s="3"/>
      <c r="X270" s="3"/>
      <c r="Y270" s="3"/>
      <c r="Z270" s="3"/>
    </row>
    <row r="271" customFormat="false" ht="15.75" hidden="false" customHeight="true" outlineLevel="0" collapsed="false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2"/>
      <c r="S271" s="3"/>
      <c r="T271" s="3"/>
      <c r="U271" s="3"/>
      <c r="V271" s="3"/>
      <c r="W271" s="3"/>
      <c r="X271" s="3"/>
      <c r="Y271" s="3"/>
      <c r="Z271" s="3"/>
    </row>
    <row r="272" customFormat="false" ht="15.75" hidden="false" customHeight="true" outlineLevel="0" collapsed="false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2"/>
      <c r="S272" s="3"/>
      <c r="T272" s="3"/>
      <c r="U272" s="3"/>
      <c r="V272" s="3"/>
      <c r="W272" s="3"/>
      <c r="X272" s="3"/>
      <c r="Y272" s="3"/>
      <c r="Z272" s="3"/>
    </row>
    <row r="273" customFormat="false" ht="15.75" hidden="false" customHeight="true" outlineLevel="0" collapsed="false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2"/>
      <c r="S273" s="3"/>
      <c r="T273" s="3"/>
      <c r="U273" s="3"/>
      <c r="V273" s="3"/>
      <c r="W273" s="3"/>
      <c r="X273" s="3"/>
      <c r="Y273" s="3"/>
      <c r="Z273" s="3"/>
    </row>
    <row r="274" customFormat="false" ht="15.75" hidden="false" customHeight="true" outlineLevel="0" collapsed="false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2"/>
      <c r="S274" s="3"/>
      <c r="T274" s="3"/>
      <c r="U274" s="3"/>
      <c r="V274" s="3"/>
      <c r="W274" s="3"/>
      <c r="X274" s="3"/>
      <c r="Y274" s="3"/>
      <c r="Z274" s="3"/>
    </row>
    <row r="275" customFormat="false" ht="15.75" hidden="false" customHeight="true" outlineLevel="0" collapsed="false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2"/>
      <c r="S275" s="3"/>
      <c r="T275" s="3"/>
      <c r="U275" s="3"/>
      <c r="V275" s="3"/>
      <c r="W275" s="3"/>
      <c r="X275" s="3"/>
      <c r="Y275" s="3"/>
      <c r="Z275" s="3"/>
    </row>
    <row r="276" customFormat="false" ht="15.75" hidden="false" customHeight="true" outlineLevel="0" collapsed="false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2"/>
      <c r="S276" s="3"/>
      <c r="T276" s="3"/>
      <c r="U276" s="3"/>
      <c r="V276" s="3"/>
      <c r="W276" s="3"/>
      <c r="X276" s="3"/>
      <c r="Y276" s="3"/>
      <c r="Z276" s="3"/>
    </row>
    <row r="277" customFormat="false" ht="15.75" hidden="false" customHeight="true" outlineLevel="0" collapsed="false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2"/>
      <c r="S277" s="3"/>
      <c r="T277" s="3"/>
      <c r="U277" s="3"/>
      <c r="V277" s="3"/>
      <c r="W277" s="3"/>
      <c r="X277" s="3"/>
      <c r="Y277" s="3"/>
      <c r="Z277" s="3"/>
    </row>
    <row r="278" customFormat="false" ht="15.75" hidden="false" customHeight="true" outlineLevel="0" collapsed="false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2"/>
      <c r="S278" s="3"/>
      <c r="T278" s="3"/>
      <c r="U278" s="3"/>
      <c r="V278" s="3"/>
      <c r="W278" s="3"/>
      <c r="X278" s="3"/>
      <c r="Y278" s="3"/>
      <c r="Z278" s="3"/>
    </row>
    <row r="279" customFormat="false" ht="15.75" hidden="false" customHeight="true" outlineLevel="0" collapsed="false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2"/>
      <c r="S279" s="3"/>
      <c r="T279" s="3"/>
      <c r="U279" s="3"/>
      <c r="V279" s="3"/>
      <c r="W279" s="3"/>
      <c r="X279" s="3"/>
      <c r="Y279" s="3"/>
      <c r="Z279" s="3"/>
    </row>
    <row r="280" customFormat="false" ht="15.75" hidden="false" customHeight="true" outlineLevel="0" collapsed="false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2"/>
      <c r="S280" s="3"/>
      <c r="T280" s="3"/>
      <c r="U280" s="3"/>
      <c r="V280" s="3"/>
      <c r="W280" s="3"/>
      <c r="X280" s="3"/>
      <c r="Y280" s="3"/>
      <c r="Z280" s="3"/>
    </row>
    <row r="281" customFormat="false" ht="15.75" hidden="false" customHeight="true" outlineLevel="0" collapsed="false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2"/>
      <c r="S281" s="3"/>
      <c r="T281" s="3"/>
      <c r="U281" s="3"/>
      <c r="V281" s="3"/>
      <c r="W281" s="3"/>
      <c r="X281" s="3"/>
      <c r="Y281" s="3"/>
      <c r="Z281" s="3"/>
    </row>
    <row r="282" customFormat="false" ht="15.75" hidden="false" customHeight="true" outlineLevel="0" collapsed="false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2"/>
      <c r="S282" s="3"/>
      <c r="T282" s="3"/>
      <c r="U282" s="3"/>
      <c r="V282" s="3"/>
      <c r="W282" s="3"/>
      <c r="X282" s="3"/>
      <c r="Y282" s="3"/>
      <c r="Z282" s="3"/>
    </row>
    <row r="283" customFormat="false" ht="15.75" hidden="false" customHeight="true" outlineLevel="0" collapsed="false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2"/>
      <c r="S283" s="3"/>
      <c r="T283" s="3"/>
      <c r="U283" s="3"/>
      <c r="V283" s="3"/>
      <c r="W283" s="3"/>
      <c r="X283" s="3"/>
      <c r="Y283" s="3"/>
      <c r="Z283" s="3"/>
    </row>
    <row r="284" customFormat="false" ht="15.75" hidden="false" customHeight="true" outlineLevel="0" collapsed="false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2"/>
      <c r="S284" s="3"/>
      <c r="T284" s="3"/>
      <c r="U284" s="3"/>
      <c r="V284" s="3"/>
      <c r="W284" s="3"/>
      <c r="X284" s="3"/>
      <c r="Y284" s="3"/>
      <c r="Z284" s="3"/>
    </row>
    <row r="285" customFormat="false" ht="15.75" hidden="false" customHeight="true" outlineLevel="0" collapsed="false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2"/>
      <c r="S285" s="3"/>
      <c r="T285" s="3"/>
      <c r="U285" s="3"/>
      <c r="V285" s="3"/>
      <c r="W285" s="3"/>
      <c r="X285" s="3"/>
      <c r="Y285" s="3"/>
      <c r="Z285" s="3"/>
    </row>
    <row r="286" customFormat="false" ht="15.75" hidden="false" customHeight="true" outlineLevel="0" collapsed="false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2"/>
      <c r="S286" s="3"/>
      <c r="T286" s="3"/>
      <c r="U286" s="3"/>
      <c r="V286" s="3"/>
      <c r="W286" s="3"/>
      <c r="X286" s="3"/>
      <c r="Y286" s="3"/>
      <c r="Z286" s="3"/>
    </row>
    <row r="287" customFormat="false" ht="15.75" hidden="false" customHeight="true" outlineLevel="0" collapsed="false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2"/>
      <c r="S287" s="3"/>
      <c r="T287" s="3"/>
      <c r="U287" s="3"/>
      <c r="V287" s="3"/>
      <c r="W287" s="3"/>
      <c r="X287" s="3"/>
      <c r="Y287" s="3"/>
      <c r="Z287" s="3"/>
    </row>
    <row r="288" customFormat="false" ht="15.75" hidden="false" customHeight="true" outlineLevel="0" collapsed="false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2"/>
      <c r="S288" s="3"/>
      <c r="T288" s="3"/>
      <c r="U288" s="3"/>
      <c r="V288" s="3"/>
      <c r="W288" s="3"/>
      <c r="X288" s="3"/>
      <c r="Y288" s="3"/>
      <c r="Z288" s="3"/>
    </row>
    <row r="289" customFormat="false" ht="15.75" hidden="false" customHeight="true" outlineLevel="0" collapsed="false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2"/>
      <c r="S289" s="3"/>
      <c r="T289" s="3"/>
      <c r="U289" s="3"/>
      <c r="V289" s="3"/>
      <c r="W289" s="3"/>
      <c r="X289" s="3"/>
      <c r="Y289" s="3"/>
      <c r="Z289" s="3"/>
    </row>
    <row r="290" customFormat="false" ht="15.75" hidden="false" customHeight="true" outlineLevel="0" collapsed="false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2"/>
      <c r="S290" s="3"/>
      <c r="T290" s="3"/>
      <c r="U290" s="3"/>
      <c r="V290" s="3"/>
      <c r="W290" s="3"/>
      <c r="X290" s="3"/>
      <c r="Y290" s="3"/>
      <c r="Z290" s="3"/>
    </row>
    <row r="291" customFormat="false" ht="15.75" hidden="false" customHeight="true" outlineLevel="0" collapsed="false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2"/>
      <c r="S291" s="3"/>
      <c r="T291" s="3"/>
      <c r="U291" s="3"/>
      <c r="V291" s="3"/>
      <c r="W291" s="3"/>
      <c r="X291" s="3"/>
      <c r="Y291" s="3"/>
      <c r="Z291" s="3"/>
    </row>
    <row r="292" customFormat="false" ht="15.75" hidden="false" customHeight="true" outlineLevel="0" collapsed="false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2"/>
      <c r="S292" s="3"/>
      <c r="T292" s="3"/>
      <c r="U292" s="3"/>
      <c r="V292" s="3"/>
      <c r="W292" s="3"/>
      <c r="X292" s="3"/>
      <c r="Y292" s="3"/>
      <c r="Z292" s="3"/>
    </row>
    <row r="293" customFormat="false" ht="15.75" hidden="false" customHeight="true" outlineLevel="0" collapsed="false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2"/>
      <c r="S293" s="3"/>
      <c r="T293" s="3"/>
      <c r="U293" s="3"/>
      <c r="V293" s="3"/>
      <c r="W293" s="3"/>
      <c r="X293" s="3"/>
      <c r="Y293" s="3"/>
      <c r="Z293" s="3"/>
    </row>
    <row r="294" customFormat="false" ht="15.75" hidden="false" customHeight="true" outlineLevel="0" collapsed="false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2"/>
      <c r="S294" s="3"/>
      <c r="T294" s="3"/>
      <c r="U294" s="3"/>
      <c r="V294" s="3"/>
      <c r="W294" s="3"/>
      <c r="X294" s="3"/>
      <c r="Y294" s="3"/>
      <c r="Z294" s="3"/>
    </row>
    <row r="295" customFormat="false" ht="15.75" hidden="false" customHeight="true" outlineLevel="0" collapsed="false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2"/>
      <c r="S295" s="3"/>
      <c r="T295" s="3"/>
      <c r="U295" s="3"/>
      <c r="V295" s="3"/>
      <c r="W295" s="3"/>
      <c r="X295" s="3"/>
      <c r="Y295" s="3"/>
      <c r="Z295" s="3"/>
    </row>
    <row r="296" customFormat="false" ht="15.75" hidden="false" customHeight="true" outlineLevel="0" collapsed="false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2"/>
      <c r="S296" s="3"/>
      <c r="T296" s="3"/>
      <c r="U296" s="3"/>
      <c r="V296" s="3"/>
      <c r="W296" s="3"/>
      <c r="X296" s="3"/>
      <c r="Y296" s="3"/>
      <c r="Z296" s="3"/>
    </row>
    <row r="297" customFormat="false" ht="15.75" hidden="false" customHeight="true" outlineLevel="0" collapsed="false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2"/>
      <c r="S297" s="3"/>
      <c r="T297" s="3"/>
      <c r="U297" s="3"/>
      <c r="V297" s="3"/>
      <c r="W297" s="3"/>
      <c r="X297" s="3"/>
      <c r="Y297" s="3"/>
      <c r="Z297" s="3"/>
    </row>
    <row r="298" customFormat="false" ht="15.75" hidden="false" customHeight="true" outlineLevel="0" collapsed="false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2"/>
      <c r="S298" s="3"/>
      <c r="T298" s="3"/>
      <c r="U298" s="3"/>
      <c r="V298" s="3"/>
      <c r="W298" s="3"/>
      <c r="X298" s="3"/>
      <c r="Y298" s="3"/>
      <c r="Z298" s="3"/>
    </row>
    <row r="299" customFormat="false" ht="15.75" hidden="false" customHeight="true" outlineLevel="0" collapsed="false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2"/>
      <c r="S299" s="3"/>
      <c r="T299" s="3"/>
      <c r="U299" s="3"/>
      <c r="V299" s="3"/>
      <c r="W299" s="3"/>
      <c r="X299" s="3"/>
      <c r="Y299" s="3"/>
      <c r="Z299" s="3"/>
    </row>
    <row r="300" customFormat="false" ht="15.75" hidden="false" customHeight="true" outlineLevel="0" collapsed="false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2"/>
      <c r="S300" s="3"/>
      <c r="T300" s="3"/>
      <c r="U300" s="3"/>
      <c r="V300" s="3"/>
      <c r="W300" s="3"/>
      <c r="X300" s="3"/>
      <c r="Y300" s="3"/>
      <c r="Z300" s="3"/>
    </row>
    <row r="301" customFormat="false" ht="15.75" hidden="false" customHeight="true" outlineLevel="0" collapsed="false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2"/>
      <c r="S301" s="3"/>
      <c r="T301" s="3"/>
      <c r="U301" s="3"/>
      <c r="V301" s="3"/>
      <c r="W301" s="3"/>
      <c r="X301" s="3"/>
      <c r="Y301" s="3"/>
      <c r="Z301" s="3"/>
    </row>
    <row r="302" customFormat="false" ht="15.75" hidden="false" customHeight="true" outlineLevel="0" collapsed="false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2"/>
      <c r="S302" s="3"/>
      <c r="T302" s="3"/>
      <c r="U302" s="3"/>
      <c r="V302" s="3"/>
      <c r="W302" s="3"/>
      <c r="X302" s="3"/>
      <c r="Y302" s="3"/>
      <c r="Z302" s="3"/>
    </row>
    <row r="303" customFormat="false" ht="15.75" hidden="false" customHeight="true" outlineLevel="0" collapsed="false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2"/>
      <c r="S303" s="3"/>
      <c r="T303" s="3"/>
      <c r="U303" s="3"/>
      <c r="V303" s="3"/>
      <c r="W303" s="3"/>
      <c r="X303" s="3"/>
      <c r="Y303" s="3"/>
      <c r="Z303" s="3"/>
    </row>
    <row r="304" customFormat="false" ht="15.75" hidden="false" customHeight="true" outlineLevel="0" collapsed="false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2"/>
      <c r="S304" s="3"/>
      <c r="T304" s="3"/>
      <c r="U304" s="3"/>
      <c r="V304" s="3"/>
      <c r="W304" s="3"/>
      <c r="X304" s="3"/>
      <c r="Y304" s="3"/>
      <c r="Z304" s="3"/>
    </row>
    <row r="305" customFormat="false" ht="15.75" hidden="false" customHeight="true" outlineLevel="0" collapsed="false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2"/>
      <c r="S305" s="3"/>
      <c r="T305" s="3"/>
      <c r="U305" s="3"/>
      <c r="V305" s="3"/>
      <c r="W305" s="3"/>
      <c r="X305" s="3"/>
      <c r="Y305" s="3"/>
      <c r="Z305" s="3"/>
    </row>
    <row r="306" customFormat="false" ht="15.75" hidden="false" customHeight="true" outlineLevel="0" collapsed="false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2"/>
      <c r="S306" s="3"/>
      <c r="T306" s="3"/>
      <c r="U306" s="3"/>
      <c r="V306" s="3"/>
      <c r="W306" s="3"/>
      <c r="X306" s="3"/>
      <c r="Y306" s="3"/>
      <c r="Z306" s="3"/>
    </row>
    <row r="307" customFormat="false" ht="15.75" hidden="false" customHeight="true" outlineLevel="0" collapsed="false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2"/>
      <c r="S307" s="3"/>
      <c r="T307" s="3"/>
      <c r="U307" s="3"/>
      <c r="V307" s="3"/>
      <c r="W307" s="3"/>
      <c r="X307" s="3"/>
      <c r="Y307" s="3"/>
      <c r="Z307" s="3"/>
    </row>
    <row r="308" customFormat="false" ht="15.75" hidden="false" customHeight="true" outlineLevel="0" collapsed="false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2"/>
      <c r="S308" s="3"/>
      <c r="T308" s="3"/>
      <c r="U308" s="3"/>
      <c r="V308" s="3"/>
      <c r="W308" s="3"/>
      <c r="X308" s="3"/>
      <c r="Y308" s="3"/>
      <c r="Z308" s="3"/>
    </row>
    <row r="309" customFormat="false" ht="15.75" hidden="false" customHeight="true" outlineLevel="0" collapsed="false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2"/>
      <c r="S309" s="3"/>
      <c r="T309" s="3"/>
      <c r="U309" s="3"/>
      <c r="V309" s="3"/>
      <c r="W309" s="3"/>
      <c r="X309" s="3"/>
      <c r="Y309" s="3"/>
      <c r="Z309" s="3"/>
    </row>
    <row r="310" customFormat="false" ht="15.75" hidden="false" customHeight="true" outlineLevel="0" collapsed="false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2"/>
      <c r="S310" s="3"/>
      <c r="T310" s="3"/>
      <c r="U310" s="3"/>
      <c r="V310" s="3"/>
      <c r="W310" s="3"/>
      <c r="X310" s="3"/>
      <c r="Y310" s="3"/>
      <c r="Z310" s="3"/>
    </row>
    <row r="311" customFormat="false" ht="15.75" hidden="false" customHeight="true" outlineLevel="0" collapsed="false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2"/>
      <c r="S311" s="3"/>
      <c r="T311" s="3"/>
      <c r="U311" s="3"/>
      <c r="V311" s="3"/>
      <c r="W311" s="3"/>
      <c r="X311" s="3"/>
      <c r="Y311" s="3"/>
      <c r="Z311" s="3"/>
    </row>
    <row r="312" customFormat="false" ht="15.75" hidden="false" customHeight="true" outlineLevel="0" collapsed="false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2"/>
      <c r="S312" s="3"/>
      <c r="T312" s="3"/>
      <c r="U312" s="3"/>
      <c r="V312" s="3"/>
      <c r="W312" s="3"/>
      <c r="X312" s="3"/>
      <c r="Y312" s="3"/>
      <c r="Z312" s="3"/>
    </row>
    <row r="313" customFormat="false" ht="15.75" hidden="false" customHeight="true" outlineLevel="0" collapsed="false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2"/>
      <c r="S313" s="3"/>
      <c r="T313" s="3"/>
      <c r="U313" s="3"/>
      <c r="V313" s="3"/>
      <c r="W313" s="3"/>
      <c r="X313" s="3"/>
      <c r="Y313" s="3"/>
      <c r="Z313" s="3"/>
    </row>
    <row r="314" customFormat="false" ht="15.75" hidden="false" customHeight="true" outlineLevel="0" collapsed="false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2"/>
      <c r="S314" s="3"/>
      <c r="T314" s="3"/>
      <c r="U314" s="3"/>
      <c r="V314" s="3"/>
      <c r="W314" s="3"/>
      <c r="X314" s="3"/>
      <c r="Y314" s="3"/>
      <c r="Z314" s="3"/>
    </row>
    <row r="315" customFormat="false" ht="15.75" hidden="false" customHeight="true" outlineLevel="0" collapsed="false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2"/>
      <c r="S315" s="3"/>
      <c r="T315" s="3"/>
      <c r="U315" s="3"/>
      <c r="V315" s="3"/>
      <c r="W315" s="3"/>
      <c r="X315" s="3"/>
      <c r="Y315" s="3"/>
      <c r="Z315" s="3"/>
    </row>
    <row r="316" customFormat="false" ht="15.75" hidden="false" customHeight="true" outlineLevel="0" collapsed="false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2"/>
      <c r="S316" s="3"/>
      <c r="T316" s="3"/>
      <c r="U316" s="3"/>
      <c r="V316" s="3"/>
      <c r="W316" s="3"/>
      <c r="X316" s="3"/>
      <c r="Y316" s="3"/>
      <c r="Z316" s="3"/>
    </row>
    <row r="317" customFormat="false" ht="15.75" hidden="false" customHeight="true" outlineLevel="0" collapsed="false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2"/>
      <c r="S317" s="3"/>
      <c r="T317" s="3"/>
      <c r="U317" s="3"/>
      <c r="V317" s="3"/>
      <c r="W317" s="3"/>
      <c r="X317" s="3"/>
      <c r="Y317" s="3"/>
      <c r="Z317" s="3"/>
    </row>
    <row r="318" customFormat="false" ht="15.75" hidden="false" customHeight="true" outlineLevel="0" collapsed="false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2"/>
      <c r="S318" s="3"/>
      <c r="T318" s="3"/>
      <c r="U318" s="3"/>
      <c r="V318" s="3"/>
      <c r="W318" s="3"/>
      <c r="X318" s="3"/>
      <c r="Y318" s="3"/>
      <c r="Z318" s="3"/>
    </row>
    <row r="319" customFormat="false" ht="15.75" hidden="false" customHeight="true" outlineLevel="0" collapsed="false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2"/>
      <c r="S319" s="3"/>
      <c r="T319" s="3"/>
      <c r="U319" s="3"/>
      <c r="V319" s="3"/>
      <c r="W319" s="3"/>
      <c r="X319" s="3"/>
      <c r="Y319" s="3"/>
      <c r="Z319" s="3"/>
    </row>
    <row r="320" customFormat="false" ht="15.75" hidden="false" customHeight="true" outlineLevel="0" collapsed="false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2"/>
      <c r="S320" s="3"/>
      <c r="T320" s="3"/>
      <c r="U320" s="3"/>
      <c r="V320" s="3"/>
      <c r="W320" s="3"/>
      <c r="X320" s="3"/>
      <c r="Y320" s="3"/>
      <c r="Z320" s="3"/>
    </row>
    <row r="321" customFormat="false" ht="15.75" hidden="false" customHeight="true" outlineLevel="0" collapsed="false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2"/>
      <c r="S321" s="3"/>
      <c r="T321" s="3"/>
      <c r="U321" s="3"/>
      <c r="V321" s="3"/>
      <c r="W321" s="3"/>
      <c r="X321" s="3"/>
      <c r="Y321" s="3"/>
      <c r="Z321" s="3"/>
    </row>
    <row r="322" customFormat="false" ht="15.75" hidden="false" customHeight="true" outlineLevel="0" collapsed="false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2"/>
      <c r="S322" s="3"/>
      <c r="T322" s="3"/>
      <c r="U322" s="3"/>
      <c r="V322" s="3"/>
      <c r="W322" s="3"/>
      <c r="X322" s="3"/>
      <c r="Y322" s="3"/>
      <c r="Z322" s="3"/>
    </row>
    <row r="323" customFormat="false" ht="15.75" hidden="false" customHeight="true" outlineLevel="0" collapsed="false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2"/>
      <c r="S323" s="3"/>
      <c r="T323" s="3"/>
      <c r="U323" s="3"/>
      <c r="V323" s="3"/>
      <c r="W323" s="3"/>
      <c r="X323" s="3"/>
      <c r="Y323" s="3"/>
      <c r="Z323" s="3"/>
    </row>
    <row r="324" customFormat="false" ht="15.75" hidden="false" customHeight="true" outlineLevel="0" collapsed="false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2"/>
      <c r="S324" s="3"/>
      <c r="T324" s="3"/>
      <c r="U324" s="3"/>
      <c r="V324" s="3"/>
      <c r="W324" s="3"/>
      <c r="X324" s="3"/>
      <c r="Y324" s="3"/>
      <c r="Z324" s="3"/>
    </row>
    <row r="325" customFormat="false" ht="15.75" hidden="false" customHeight="true" outlineLevel="0" collapsed="false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2"/>
      <c r="S325" s="3"/>
      <c r="T325" s="3"/>
      <c r="U325" s="3"/>
      <c r="V325" s="3"/>
      <c r="W325" s="3"/>
      <c r="X325" s="3"/>
      <c r="Y325" s="3"/>
      <c r="Z325" s="3"/>
    </row>
    <row r="326" customFormat="false" ht="15.75" hidden="false" customHeight="true" outlineLevel="0" collapsed="false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2"/>
      <c r="S326" s="3"/>
      <c r="T326" s="3"/>
      <c r="U326" s="3"/>
      <c r="V326" s="3"/>
      <c r="W326" s="3"/>
      <c r="X326" s="3"/>
      <c r="Y326" s="3"/>
      <c r="Z326" s="3"/>
    </row>
    <row r="327" customFormat="false" ht="15.75" hidden="false" customHeight="true" outlineLevel="0" collapsed="false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2"/>
      <c r="S327" s="3"/>
      <c r="T327" s="3"/>
      <c r="U327" s="3"/>
      <c r="V327" s="3"/>
      <c r="W327" s="3"/>
      <c r="X327" s="3"/>
      <c r="Y327" s="3"/>
      <c r="Z327" s="3"/>
    </row>
    <row r="328" customFormat="false" ht="15.75" hidden="false" customHeight="true" outlineLevel="0" collapsed="false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2"/>
      <c r="S328" s="3"/>
      <c r="T328" s="3"/>
      <c r="U328" s="3"/>
      <c r="V328" s="3"/>
      <c r="W328" s="3"/>
      <c r="X328" s="3"/>
      <c r="Y328" s="3"/>
      <c r="Z328" s="3"/>
    </row>
    <row r="329" customFormat="false" ht="15.75" hidden="false" customHeight="true" outlineLevel="0" collapsed="false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2"/>
      <c r="S329" s="3"/>
      <c r="T329" s="3"/>
      <c r="U329" s="3"/>
      <c r="V329" s="3"/>
      <c r="W329" s="3"/>
      <c r="X329" s="3"/>
      <c r="Y329" s="3"/>
      <c r="Z329" s="3"/>
    </row>
    <row r="330" customFormat="false" ht="15.75" hidden="false" customHeight="true" outlineLevel="0" collapsed="false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2"/>
      <c r="S330" s="3"/>
      <c r="T330" s="3"/>
      <c r="U330" s="3"/>
      <c r="V330" s="3"/>
      <c r="W330" s="3"/>
      <c r="X330" s="3"/>
      <c r="Y330" s="3"/>
      <c r="Z330" s="3"/>
    </row>
    <row r="331" customFormat="false" ht="15.75" hidden="false" customHeight="true" outlineLevel="0" collapsed="false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2"/>
      <c r="S331" s="3"/>
      <c r="T331" s="3"/>
      <c r="U331" s="3"/>
      <c r="V331" s="3"/>
      <c r="W331" s="3"/>
      <c r="X331" s="3"/>
      <c r="Y331" s="3"/>
      <c r="Z331" s="3"/>
    </row>
    <row r="332" customFormat="false" ht="15.75" hidden="false" customHeight="true" outlineLevel="0" collapsed="false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2"/>
      <c r="S332" s="3"/>
      <c r="T332" s="3"/>
      <c r="U332" s="3"/>
      <c r="V332" s="3"/>
      <c r="W332" s="3"/>
      <c r="X332" s="3"/>
      <c r="Y332" s="3"/>
      <c r="Z332" s="3"/>
    </row>
    <row r="333" customFormat="false" ht="15.75" hidden="false" customHeight="true" outlineLevel="0" collapsed="false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2"/>
      <c r="S333" s="3"/>
      <c r="T333" s="3"/>
      <c r="U333" s="3"/>
      <c r="V333" s="3"/>
      <c r="W333" s="3"/>
      <c r="X333" s="3"/>
      <c r="Y333" s="3"/>
      <c r="Z333" s="3"/>
    </row>
    <row r="334" customFormat="false" ht="15.75" hidden="false" customHeight="true" outlineLevel="0" collapsed="false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2"/>
      <c r="S334" s="3"/>
      <c r="T334" s="3"/>
      <c r="U334" s="3"/>
      <c r="V334" s="3"/>
      <c r="W334" s="3"/>
      <c r="X334" s="3"/>
      <c r="Y334" s="3"/>
      <c r="Z334" s="3"/>
    </row>
    <row r="335" customFormat="false" ht="15.75" hidden="false" customHeight="true" outlineLevel="0" collapsed="false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2"/>
      <c r="S335" s="3"/>
      <c r="T335" s="3"/>
      <c r="U335" s="3"/>
      <c r="V335" s="3"/>
      <c r="W335" s="3"/>
      <c r="X335" s="3"/>
      <c r="Y335" s="3"/>
      <c r="Z335" s="3"/>
    </row>
    <row r="336" customFormat="false" ht="15.75" hidden="false" customHeight="true" outlineLevel="0" collapsed="false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2"/>
      <c r="S336" s="3"/>
      <c r="T336" s="3"/>
      <c r="U336" s="3"/>
      <c r="V336" s="3"/>
      <c r="W336" s="3"/>
      <c r="X336" s="3"/>
      <c r="Y336" s="3"/>
      <c r="Z336" s="3"/>
    </row>
    <row r="337" customFormat="false" ht="15.75" hidden="false" customHeight="true" outlineLevel="0" collapsed="false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2"/>
      <c r="S337" s="3"/>
      <c r="T337" s="3"/>
      <c r="U337" s="3"/>
      <c r="V337" s="3"/>
      <c r="W337" s="3"/>
      <c r="X337" s="3"/>
      <c r="Y337" s="3"/>
      <c r="Z337" s="3"/>
    </row>
    <row r="338" customFormat="false" ht="15.75" hidden="false" customHeight="true" outlineLevel="0" collapsed="false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2"/>
      <c r="S338" s="3"/>
      <c r="T338" s="3"/>
      <c r="U338" s="3"/>
      <c r="V338" s="3"/>
      <c r="W338" s="3"/>
      <c r="X338" s="3"/>
      <c r="Y338" s="3"/>
      <c r="Z338" s="3"/>
    </row>
    <row r="339" customFormat="false" ht="15.75" hidden="false" customHeight="true" outlineLevel="0" collapsed="false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2"/>
      <c r="S339" s="3"/>
      <c r="T339" s="3"/>
      <c r="U339" s="3"/>
      <c r="V339" s="3"/>
      <c r="W339" s="3"/>
      <c r="X339" s="3"/>
      <c r="Y339" s="3"/>
      <c r="Z339" s="3"/>
    </row>
    <row r="340" customFormat="false" ht="15.75" hidden="false" customHeight="true" outlineLevel="0" collapsed="false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2"/>
      <c r="S340" s="3"/>
      <c r="T340" s="3"/>
      <c r="U340" s="3"/>
      <c r="V340" s="3"/>
      <c r="W340" s="3"/>
      <c r="X340" s="3"/>
      <c r="Y340" s="3"/>
      <c r="Z340" s="3"/>
    </row>
    <row r="341" customFormat="false" ht="15.75" hidden="false" customHeight="true" outlineLevel="0" collapsed="false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2"/>
      <c r="S341" s="3"/>
      <c r="T341" s="3"/>
      <c r="U341" s="3"/>
      <c r="V341" s="3"/>
      <c r="W341" s="3"/>
      <c r="X341" s="3"/>
      <c r="Y341" s="3"/>
      <c r="Z341" s="3"/>
    </row>
    <row r="342" customFormat="false" ht="15.75" hidden="false" customHeight="true" outlineLevel="0" collapsed="false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2"/>
      <c r="S342" s="3"/>
      <c r="T342" s="3"/>
      <c r="U342" s="3"/>
      <c r="V342" s="3"/>
      <c r="W342" s="3"/>
      <c r="X342" s="3"/>
      <c r="Y342" s="3"/>
      <c r="Z342" s="3"/>
    </row>
    <row r="343" customFormat="false" ht="15.75" hidden="false" customHeight="true" outlineLevel="0" collapsed="false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2"/>
      <c r="S343" s="3"/>
      <c r="T343" s="3"/>
      <c r="U343" s="3"/>
      <c r="V343" s="3"/>
      <c r="W343" s="3"/>
      <c r="X343" s="3"/>
      <c r="Y343" s="3"/>
      <c r="Z343" s="3"/>
    </row>
    <row r="344" customFormat="false" ht="15.75" hidden="false" customHeight="true" outlineLevel="0" collapsed="false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2"/>
      <c r="S344" s="3"/>
      <c r="T344" s="3"/>
      <c r="U344" s="3"/>
      <c r="V344" s="3"/>
      <c r="W344" s="3"/>
      <c r="X344" s="3"/>
      <c r="Y344" s="3"/>
      <c r="Z344" s="3"/>
    </row>
    <row r="345" customFormat="false" ht="15.75" hidden="false" customHeight="true" outlineLevel="0" collapsed="false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2"/>
      <c r="S345" s="3"/>
      <c r="T345" s="3"/>
      <c r="U345" s="3"/>
      <c r="V345" s="3"/>
      <c r="W345" s="3"/>
      <c r="X345" s="3"/>
      <c r="Y345" s="3"/>
      <c r="Z345" s="3"/>
    </row>
    <row r="346" customFormat="false" ht="15.75" hidden="false" customHeight="true" outlineLevel="0" collapsed="false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2"/>
      <c r="S346" s="3"/>
      <c r="T346" s="3"/>
      <c r="U346" s="3"/>
      <c r="V346" s="3"/>
      <c r="W346" s="3"/>
      <c r="X346" s="3"/>
      <c r="Y346" s="3"/>
      <c r="Z346" s="3"/>
    </row>
    <row r="347" customFormat="false" ht="15.75" hidden="false" customHeight="true" outlineLevel="0" collapsed="false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2"/>
      <c r="S347" s="3"/>
      <c r="T347" s="3"/>
      <c r="U347" s="3"/>
      <c r="V347" s="3"/>
      <c r="W347" s="3"/>
      <c r="X347" s="3"/>
      <c r="Y347" s="3"/>
      <c r="Z347" s="3"/>
    </row>
    <row r="348" customFormat="false" ht="15.75" hidden="false" customHeight="true" outlineLevel="0" collapsed="false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2"/>
      <c r="S348" s="3"/>
      <c r="T348" s="3"/>
      <c r="U348" s="3"/>
      <c r="V348" s="3"/>
      <c r="W348" s="3"/>
      <c r="X348" s="3"/>
      <c r="Y348" s="3"/>
      <c r="Z348" s="3"/>
    </row>
    <row r="349" customFormat="false" ht="15.75" hidden="false" customHeight="true" outlineLevel="0" collapsed="false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2"/>
      <c r="S349" s="3"/>
      <c r="T349" s="3"/>
      <c r="U349" s="3"/>
      <c r="V349" s="3"/>
      <c r="W349" s="3"/>
      <c r="X349" s="3"/>
      <c r="Y349" s="3"/>
      <c r="Z349" s="3"/>
    </row>
    <row r="350" customFormat="false" ht="15.75" hidden="false" customHeight="true" outlineLevel="0" collapsed="false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2"/>
      <c r="S350" s="3"/>
      <c r="T350" s="3"/>
      <c r="U350" s="3"/>
      <c r="V350" s="3"/>
      <c r="W350" s="3"/>
      <c r="X350" s="3"/>
      <c r="Y350" s="3"/>
      <c r="Z350" s="3"/>
    </row>
    <row r="351" customFormat="false" ht="15.75" hidden="false" customHeight="true" outlineLevel="0" collapsed="false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2"/>
      <c r="S351" s="3"/>
      <c r="T351" s="3"/>
      <c r="U351" s="3"/>
      <c r="V351" s="3"/>
      <c r="W351" s="3"/>
      <c r="X351" s="3"/>
      <c r="Y351" s="3"/>
      <c r="Z351" s="3"/>
    </row>
    <row r="352" customFormat="false" ht="15.75" hidden="false" customHeight="true" outlineLevel="0" collapsed="false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2"/>
      <c r="S352" s="3"/>
      <c r="T352" s="3"/>
      <c r="U352" s="3"/>
      <c r="V352" s="3"/>
      <c r="W352" s="3"/>
      <c r="X352" s="3"/>
      <c r="Y352" s="3"/>
      <c r="Z352" s="3"/>
    </row>
    <row r="353" customFormat="false" ht="15.75" hidden="false" customHeight="true" outlineLevel="0" collapsed="false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2"/>
      <c r="S353" s="3"/>
      <c r="T353" s="3"/>
      <c r="U353" s="3"/>
      <c r="V353" s="3"/>
      <c r="W353" s="3"/>
      <c r="X353" s="3"/>
      <c r="Y353" s="3"/>
      <c r="Z353" s="3"/>
    </row>
    <row r="354" customFormat="false" ht="15.75" hidden="false" customHeight="true" outlineLevel="0" collapsed="false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2"/>
      <c r="S354" s="3"/>
      <c r="T354" s="3"/>
      <c r="U354" s="3"/>
      <c r="V354" s="3"/>
      <c r="W354" s="3"/>
      <c r="X354" s="3"/>
      <c r="Y354" s="3"/>
      <c r="Z354" s="3"/>
    </row>
    <row r="355" customFormat="false" ht="15.75" hidden="false" customHeight="true" outlineLevel="0" collapsed="false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2"/>
      <c r="S355" s="3"/>
      <c r="T355" s="3"/>
      <c r="U355" s="3"/>
      <c r="V355" s="3"/>
      <c r="W355" s="3"/>
      <c r="X355" s="3"/>
      <c r="Y355" s="3"/>
      <c r="Z355" s="3"/>
    </row>
    <row r="356" customFormat="false" ht="15.75" hidden="false" customHeight="true" outlineLevel="0" collapsed="false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2"/>
      <c r="S356" s="3"/>
      <c r="T356" s="3"/>
      <c r="U356" s="3"/>
      <c r="V356" s="3"/>
      <c r="W356" s="3"/>
      <c r="X356" s="3"/>
      <c r="Y356" s="3"/>
      <c r="Z356" s="3"/>
    </row>
    <row r="357" customFormat="false" ht="15.75" hidden="false" customHeight="true" outlineLevel="0" collapsed="false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2"/>
      <c r="S357" s="3"/>
      <c r="T357" s="3"/>
      <c r="U357" s="3"/>
      <c r="V357" s="3"/>
      <c r="W357" s="3"/>
      <c r="X357" s="3"/>
      <c r="Y357" s="3"/>
      <c r="Z357" s="3"/>
    </row>
    <row r="358" customFormat="false" ht="15.75" hidden="false" customHeight="true" outlineLevel="0" collapsed="false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2"/>
      <c r="S358" s="3"/>
      <c r="T358" s="3"/>
      <c r="U358" s="3"/>
      <c r="V358" s="3"/>
      <c r="W358" s="3"/>
      <c r="X358" s="3"/>
      <c r="Y358" s="3"/>
      <c r="Z358" s="3"/>
    </row>
    <row r="359" customFormat="false" ht="15.75" hidden="false" customHeight="true" outlineLevel="0" collapsed="false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2"/>
      <c r="S359" s="3"/>
      <c r="T359" s="3"/>
      <c r="U359" s="3"/>
      <c r="V359" s="3"/>
      <c r="W359" s="3"/>
      <c r="X359" s="3"/>
      <c r="Y359" s="3"/>
      <c r="Z359" s="3"/>
    </row>
    <row r="360" customFormat="false" ht="15.75" hidden="false" customHeight="true" outlineLevel="0" collapsed="false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2"/>
      <c r="S360" s="3"/>
      <c r="T360" s="3"/>
      <c r="U360" s="3"/>
      <c r="V360" s="3"/>
      <c r="W360" s="3"/>
      <c r="X360" s="3"/>
      <c r="Y360" s="3"/>
      <c r="Z360" s="3"/>
    </row>
    <row r="361" customFormat="false" ht="15.75" hidden="false" customHeight="true" outlineLevel="0" collapsed="false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2"/>
      <c r="S361" s="3"/>
      <c r="T361" s="3"/>
      <c r="U361" s="3"/>
      <c r="V361" s="3"/>
      <c r="W361" s="3"/>
      <c r="X361" s="3"/>
      <c r="Y361" s="3"/>
      <c r="Z361" s="3"/>
    </row>
    <row r="362" customFormat="false" ht="15.75" hidden="false" customHeight="true" outlineLevel="0" collapsed="false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2"/>
      <c r="S362" s="3"/>
      <c r="T362" s="3"/>
      <c r="U362" s="3"/>
      <c r="V362" s="3"/>
      <c r="W362" s="3"/>
      <c r="X362" s="3"/>
      <c r="Y362" s="3"/>
      <c r="Z362" s="3"/>
    </row>
    <row r="363" customFormat="false" ht="15.75" hidden="false" customHeight="true" outlineLevel="0" collapsed="false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2"/>
      <c r="S363" s="3"/>
      <c r="T363" s="3"/>
      <c r="U363" s="3"/>
      <c r="V363" s="3"/>
      <c r="W363" s="3"/>
      <c r="X363" s="3"/>
      <c r="Y363" s="3"/>
      <c r="Z363" s="3"/>
    </row>
    <row r="364" customFormat="false" ht="15.75" hidden="false" customHeight="true" outlineLevel="0" collapsed="false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2"/>
      <c r="S364" s="3"/>
      <c r="T364" s="3"/>
      <c r="U364" s="3"/>
      <c r="V364" s="3"/>
      <c r="W364" s="3"/>
      <c r="X364" s="3"/>
      <c r="Y364" s="3"/>
      <c r="Z364" s="3"/>
    </row>
    <row r="365" customFormat="false" ht="15.75" hidden="false" customHeight="true" outlineLevel="0" collapsed="false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2"/>
      <c r="S365" s="3"/>
      <c r="T365" s="3"/>
      <c r="U365" s="3"/>
      <c r="V365" s="3"/>
      <c r="W365" s="3"/>
      <c r="X365" s="3"/>
      <c r="Y365" s="3"/>
      <c r="Z365" s="3"/>
    </row>
    <row r="366" customFormat="false" ht="15.75" hidden="false" customHeight="true" outlineLevel="0" collapsed="false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2"/>
      <c r="S366" s="3"/>
      <c r="T366" s="3"/>
      <c r="U366" s="3"/>
      <c r="V366" s="3"/>
      <c r="W366" s="3"/>
      <c r="X366" s="3"/>
      <c r="Y366" s="3"/>
      <c r="Z366" s="3"/>
    </row>
    <row r="367" customFormat="false" ht="15.75" hidden="false" customHeight="true" outlineLevel="0" collapsed="false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2"/>
      <c r="S367" s="3"/>
      <c r="T367" s="3"/>
      <c r="U367" s="3"/>
      <c r="V367" s="3"/>
      <c r="W367" s="3"/>
      <c r="X367" s="3"/>
      <c r="Y367" s="3"/>
      <c r="Z367" s="3"/>
    </row>
    <row r="368" customFormat="false" ht="15.75" hidden="false" customHeight="true" outlineLevel="0" collapsed="false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2"/>
      <c r="S368" s="3"/>
      <c r="T368" s="3"/>
      <c r="U368" s="3"/>
      <c r="V368" s="3"/>
      <c r="W368" s="3"/>
      <c r="X368" s="3"/>
      <c r="Y368" s="3"/>
      <c r="Z368" s="3"/>
    </row>
    <row r="369" customFormat="false" ht="15.75" hidden="false" customHeight="true" outlineLevel="0" collapsed="false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2"/>
      <c r="S369" s="3"/>
      <c r="T369" s="3"/>
      <c r="U369" s="3"/>
      <c r="V369" s="3"/>
      <c r="W369" s="3"/>
      <c r="X369" s="3"/>
      <c r="Y369" s="3"/>
      <c r="Z369" s="3"/>
    </row>
    <row r="370" customFormat="false" ht="15.75" hidden="false" customHeight="true" outlineLevel="0" collapsed="false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2"/>
      <c r="S370" s="3"/>
      <c r="T370" s="3"/>
      <c r="U370" s="3"/>
      <c r="V370" s="3"/>
      <c r="W370" s="3"/>
      <c r="X370" s="3"/>
      <c r="Y370" s="3"/>
      <c r="Z370" s="3"/>
    </row>
    <row r="371" customFormat="false" ht="15.75" hidden="false" customHeight="true" outlineLevel="0" collapsed="false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2"/>
      <c r="S371" s="3"/>
      <c r="T371" s="3"/>
      <c r="U371" s="3"/>
      <c r="V371" s="3"/>
      <c r="W371" s="3"/>
      <c r="X371" s="3"/>
      <c r="Y371" s="3"/>
      <c r="Z371" s="3"/>
    </row>
    <row r="372" customFormat="false" ht="15.75" hidden="false" customHeight="true" outlineLevel="0" collapsed="false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2"/>
      <c r="S372" s="3"/>
      <c r="T372" s="3"/>
      <c r="U372" s="3"/>
      <c r="V372" s="3"/>
      <c r="W372" s="3"/>
      <c r="X372" s="3"/>
      <c r="Y372" s="3"/>
      <c r="Z372" s="3"/>
    </row>
    <row r="373" customFormat="false" ht="15.75" hidden="false" customHeight="true" outlineLevel="0" collapsed="false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2"/>
      <c r="S373" s="3"/>
      <c r="T373" s="3"/>
      <c r="U373" s="3"/>
      <c r="V373" s="3"/>
      <c r="W373" s="3"/>
      <c r="X373" s="3"/>
      <c r="Y373" s="3"/>
      <c r="Z373" s="3"/>
    </row>
    <row r="374" customFormat="false" ht="15.75" hidden="false" customHeight="true" outlineLevel="0" collapsed="false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2"/>
      <c r="S374" s="3"/>
      <c r="T374" s="3"/>
      <c r="U374" s="3"/>
      <c r="V374" s="3"/>
      <c r="W374" s="3"/>
      <c r="X374" s="3"/>
      <c r="Y374" s="3"/>
      <c r="Z374" s="3"/>
    </row>
    <row r="375" customFormat="false" ht="15.75" hidden="false" customHeight="true" outlineLevel="0" collapsed="false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2"/>
      <c r="S375" s="3"/>
      <c r="T375" s="3"/>
      <c r="U375" s="3"/>
      <c r="V375" s="3"/>
      <c r="W375" s="3"/>
      <c r="X375" s="3"/>
      <c r="Y375" s="3"/>
      <c r="Z375" s="3"/>
    </row>
    <row r="376" customFormat="false" ht="15.75" hidden="false" customHeight="true" outlineLevel="0" collapsed="false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2"/>
      <c r="S376" s="3"/>
      <c r="T376" s="3"/>
      <c r="U376" s="3"/>
      <c r="V376" s="3"/>
      <c r="W376" s="3"/>
      <c r="X376" s="3"/>
      <c r="Y376" s="3"/>
      <c r="Z376" s="3"/>
    </row>
    <row r="377" customFormat="false" ht="15.75" hidden="false" customHeight="true" outlineLevel="0" collapsed="false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2"/>
      <c r="S377" s="3"/>
      <c r="T377" s="3"/>
      <c r="U377" s="3"/>
      <c r="V377" s="3"/>
      <c r="W377" s="3"/>
      <c r="X377" s="3"/>
      <c r="Y377" s="3"/>
      <c r="Z377" s="3"/>
    </row>
    <row r="378" customFormat="false" ht="15.75" hidden="false" customHeight="true" outlineLevel="0" collapsed="false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2"/>
      <c r="S378" s="3"/>
      <c r="T378" s="3"/>
      <c r="U378" s="3"/>
      <c r="V378" s="3"/>
      <c r="W378" s="3"/>
      <c r="X378" s="3"/>
      <c r="Y378" s="3"/>
      <c r="Z378" s="3"/>
    </row>
    <row r="379" customFormat="false" ht="15.75" hidden="false" customHeight="true" outlineLevel="0" collapsed="false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2"/>
      <c r="S379" s="3"/>
      <c r="T379" s="3"/>
      <c r="U379" s="3"/>
      <c r="V379" s="3"/>
      <c r="W379" s="3"/>
      <c r="X379" s="3"/>
      <c r="Y379" s="3"/>
      <c r="Z379" s="3"/>
    </row>
    <row r="380" customFormat="false" ht="15.75" hidden="false" customHeight="true" outlineLevel="0" collapsed="false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2"/>
      <c r="S380" s="3"/>
      <c r="T380" s="3"/>
      <c r="U380" s="3"/>
      <c r="V380" s="3"/>
      <c r="W380" s="3"/>
      <c r="X380" s="3"/>
      <c r="Y380" s="3"/>
      <c r="Z380" s="3"/>
    </row>
    <row r="381" customFormat="false" ht="15.75" hidden="false" customHeight="true" outlineLevel="0" collapsed="false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2"/>
      <c r="S381" s="3"/>
      <c r="T381" s="3"/>
      <c r="U381" s="3"/>
      <c r="V381" s="3"/>
      <c r="W381" s="3"/>
      <c r="X381" s="3"/>
      <c r="Y381" s="3"/>
      <c r="Z381" s="3"/>
    </row>
    <row r="382" customFormat="false" ht="15.75" hidden="false" customHeight="true" outlineLevel="0" collapsed="false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2"/>
      <c r="S382" s="3"/>
      <c r="T382" s="3"/>
      <c r="U382" s="3"/>
      <c r="V382" s="3"/>
      <c r="W382" s="3"/>
      <c r="X382" s="3"/>
      <c r="Y382" s="3"/>
      <c r="Z382" s="3"/>
    </row>
    <row r="383" customFormat="false" ht="15.75" hidden="false" customHeight="true" outlineLevel="0" collapsed="false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2"/>
      <c r="S383" s="3"/>
      <c r="T383" s="3"/>
      <c r="U383" s="3"/>
      <c r="V383" s="3"/>
      <c r="W383" s="3"/>
      <c r="X383" s="3"/>
      <c r="Y383" s="3"/>
      <c r="Z383" s="3"/>
    </row>
    <row r="384" customFormat="false" ht="15.75" hidden="false" customHeight="true" outlineLevel="0" collapsed="false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2"/>
      <c r="S384" s="3"/>
      <c r="T384" s="3"/>
      <c r="U384" s="3"/>
      <c r="V384" s="3"/>
      <c r="W384" s="3"/>
      <c r="X384" s="3"/>
      <c r="Y384" s="3"/>
      <c r="Z384" s="3"/>
    </row>
    <row r="385" customFormat="false" ht="15.75" hidden="false" customHeight="true" outlineLevel="0" collapsed="false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2"/>
      <c r="S385" s="3"/>
      <c r="T385" s="3"/>
      <c r="U385" s="3"/>
      <c r="V385" s="3"/>
      <c r="W385" s="3"/>
      <c r="X385" s="3"/>
      <c r="Y385" s="3"/>
      <c r="Z385" s="3"/>
    </row>
    <row r="386" customFormat="false" ht="15.75" hidden="false" customHeight="true" outlineLevel="0" collapsed="false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2"/>
      <c r="S386" s="3"/>
      <c r="T386" s="3"/>
      <c r="U386" s="3"/>
      <c r="V386" s="3"/>
      <c r="W386" s="3"/>
      <c r="X386" s="3"/>
      <c r="Y386" s="3"/>
      <c r="Z386" s="3"/>
    </row>
    <row r="387" customFormat="false" ht="15.75" hidden="false" customHeight="true" outlineLevel="0" collapsed="false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2"/>
      <c r="S387" s="3"/>
      <c r="T387" s="3"/>
      <c r="U387" s="3"/>
      <c r="V387" s="3"/>
      <c r="W387" s="3"/>
      <c r="X387" s="3"/>
      <c r="Y387" s="3"/>
      <c r="Z387" s="3"/>
    </row>
    <row r="388" customFormat="false" ht="15.75" hidden="false" customHeight="true" outlineLevel="0" collapsed="false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2"/>
      <c r="S388" s="3"/>
      <c r="T388" s="3"/>
      <c r="U388" s="3"/>
      <c r="V388" s="3"/>
      <c r="W388" s="3"/>
      <c r="X388" s="3"/>
      <c r="Y388" s="3"/>
      <c r="Z388" s="3"/>
    </row>
    <row r="389" customFormat="false" ht="15.75" hidden="false" customHeight="true" outlineLevel="0" collapsed="false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2"/>
      <c r="S389" s="3"/>
      <c r="T389" s="3"/>
      <c r="U389" s="3"/>
      <c r="V389" s="3"/>
      <c r="W389" s="3"/>
      <c r="X389" s="3"/>
      <c r="Y389" s="3"/>
      <c r="Z389" s="3"/>
    </row>
    <row r="390" customFormat="false" ht="15.75" hidden="false" customHeight="true" outlineLevel="0" collapsed="false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2"/>
      <c r="S390" s="3"/>
      <c r="T390" s="3"/>
      <c r="U390" s="3"/>
      <c r="V390" s="3"/>
      <c r="W390" s="3"/>
      <c r="X390" s="3"/>
      <c r="Y390" s="3"/>
      <c r="Z390" s="3"/>
    </row>
    <row r="391" customFormat="false" ht="15.75" hidden="false" customHeight="true" outlineLevel="0" collapsed="false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2"/>
      <c r="S391" s="3"/>
      <c r="T391" s="3"/>
      <c r="U391" s="3"/>
      <c r="V391" s="3"/>
      <c r="W391" s="3"/>
      <c r="X391" s="3"/>
      <c r="Y391" s="3"/>
      <c r="Z391" s="3"/>
    </row>
    <row r="392" customFormat="false" ht="15.75" hidden="false" customHeight="true" outlineLevel="0" collapsed="false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2"/>
      <c r="S392" s="3"/>
      <c r="T392" s="3"/>
      <c r="U392" s="3"/>
      <c r="V392" s="3"/>
      <c r="W392" s="3"/>
      <c r="X392" s="3"/>
      <c r="Y392" s="3"/>
      <c r="Z392" s="3"/>
    </row>
    <row r="393" customFormat="false" ht="15.75" hidden="false" customHeight="true" outlineLevel="0" collapsed="false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2"/>
      <c r="S393" s="3"/>
      <c r="T393" s="3"/>
      <c r="U393" s="3"/>
      <c r="V393" s="3"/>
      <c r="W393" s="3"/>
      <c r="X393" s="3"/>
      <c r="Y393" s="3"/>
      <c r="Z393" s="3"/>
    </row>
    <row r="394" customFormat="false" ht="15.75" hidden="false" customHeight="true" outlineLevel="0" collapsed="false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2"/>
      <c r="S394" s="3"/>
      <c r="T394" s="3"/>
      <c r="U394" s="3"/>
      <c r="V394" s="3"/>
      <c r="W394" s="3"/>
      <c r="X394" s="3"/>
      <c r="Y394" s="3"/>
      <c r="Z394" s="3"/>
    </row>
    <row r="395" customFormat="false" ht="15.75" hidden="false" customHeight="true" outlineLevel="0" collapsed="false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2"/>
      <c r="S395" s="3"/>
      <c r="T395" s="3"/>
      <c r="U395" s="3"/>
      <c r="V395" s="3"/>
      <c r="W395" s="3"/>
      <c r="X395" s="3"/>
      <c r="Y395" s="3"/>
      <c r="Z395" s="3"/>
    </row>
    <row r="396" customFormat="false" ht="15.75" hidden="false" customHeight="true" outlineLevel="0" collapsed="false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2"/>
      <c r="S396" s="3"/>
      <c r="T396" s="3"/>
      <c r="U396" s="3"/>
      <c r="V396" s="3"/>
      <c r="W396" s="3"/>
      <c r="X396" s="3"/>
      <c r="Y396" s="3"/>
      <c r="Z396" s="3"/>
    </row>
    <row r="397" customFormat="false" ht="15.75" hidden="false" customHeight="true" outlineLevel="0" collapsed="false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2"/>
      <c r="S397" s="3"/>
      <c r="T397" s="3"/>
      <c r="U397" s="3"/>
      <c r="V397" s="3"/>
      <c r="W397" s="3"/>
      <c r="X397" s="3"/>
      <c r="Y397" s="3"/>
      <c r="Z397" s="3"/>
    </row>
    <row r="398" customFormat="false" ht="15.75" hidden="false" customHeight="true" outlineLevel="0" collapsed="false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2"/>
      <c r="S398" s="3"/>
      <c r="T398" s="3"/>
      <c r="U398" s="3"/>
      <c r="V398" s="3"/>
      <c r="W398" s="3"/>
      <c r="X398" s="3"/>
      <c r="Y398" s="3"/>
      <c r="Z398" s="3"/>
    </row>
    <row r="399" customFormat="false" ht="15.75" hidden="false" customHeight="true" outlineLevel="0" collapsed="false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2"/>
      <c r="S399" s="3"/>
      <c r="T399" s="3"/>
      <c r="U399" s="3"/>
      <c r="V399" s="3"/>
      <c r="W399" s="3"/>
      <c r="X399" s="3"/>
      <c r="Y399" s="3"/>
      <c r="Z399" s="3"/>
    </row>
    <row r="400" customFormat="false" ht="15.75" hidden="false" customHeight="true" outlineLevel="0" collapsed="false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2"/>
      <c r="S400" s="3"/>
      <c r="T400" s="3"/>
      <c r="U400" s="3"/>
      <c r="V400" s="3"/>
      <c r="W400" s="3"/>
      <c r="X400" s="3"/>
      <c r="Y400" s="3"/>
      <c r="Z400" s="3"/>
    </row>
    <row r="401" customFormat="false" ht="15.75" hidden="false" customHeight="true" outlineLevel="0" collapsed="false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2"/>
      <c r="S401" s="3"/>
      <c r="T401" s="3"/>
      <c r="U401" s="3"/>
      <c r="V401" s="3"/>
      <c r="W401" s="3"/>
      <c r="X401" s="3"/>
      <c r="Y401" s="3"/>
      <c r="Z401" s="3"/>
    </row>
    <row r="402" customFormat="false" ht="15.75" hidden="false" customHeight="true" outlineLevel="0" collapsed="false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2"/>
      <c r="S402" s="3"/>
      <c r="T402" s="3"/>
      <c r="U402" s="3"/>
      <c r="V402" s="3"/>
      <c r="W402" s="3"/>
      <c r="X402" s="3"/>
      <c r="Y402" s="3"/>
      <c r="Z402" s="3"/>
    </row>
    <row r="403" customFormat="false" ht="15.75" hidden="false" customHeight="true" outlineLevel="0" collapsed="false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2"/>
      <c r="S403" s="3"/>
      <c r="T403" s="3"/>
      <c r="U403" s="3"/>
      <c r="V403" s="3"/>
      <c r="W403" s="3"/>
      <c r="X403" s="3"/>
      <c r="Y403" s="3"/>
      <c r="Z403" s="3"/>
    </row>
    <row r="404" customFormat="false" ht="15.75" hidden="false" customHeight="true" outlineLevel="0" collapsed="false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2"/>
      <c r="S404" s="3"/>
      <c r="T404" s="3"/>
      <c r="U404" s="3"/>
      <c r="V404" s="3"/>
      <c r="W404" s="3"/>
      <c r="X404" s="3"/>
      <c r="Y404" s="3"/>
      <c r="Z404" s="3"/>
    </row>
    <row r="405" customFormat="false" ht="15.75" hidden="false" customHeight="true" outlineLevel="0" collapsed="false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2"/>
      <c r="S405" s="3"/>
      <c r="T405" s="3"/>
      <c r="U405" s="3"/>
      <c r="V405" s="3"/>
      <c r="W405" s="3"/>
      <c r="X405" s="3"/>
      <c r="Y405" s="3"/>
      <c r="Z405" s="3"/>
    </row>
    <row r="406" customFormat="false" ht="15.75" hidden="false" customHeight="true" outlineLevel="0" collapsed="false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2"/>
      <c r="S406" s="3"/>
      <c r="T406" s="3"/>
      <c r="U406" s="3"/>
      <c r="V406" s="3"/>
      <c r="W406" s="3"/>
      <c r="X406" s="3"/>
      <c r="Y406" s="3"/>
      <c r="Z406" s="3"/>
    </row>
    <row r="407" customFormat="false" ht="15.75" hidden="false" customHeight="true" outlineLevel="0" collapsed="false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2"/>
      <c r="S407" s="3"/>
      <c r="T407" s="3"/>
      <c r="U407" s="3"/>
      <c r="V407" s="3"/>
      <c r="W407" s="3"/>
      <c r="X407" s="3"/>
      <c r="Y407" s="3"/>
      <c r="Z407" s="3"/>
    </row>
    <row r="408" customFormat="false" ht="15.75" hidden="false" customHeight="true" outlineLevel="0" collapsed="false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2"/>
      <c r="S408" s="3"/>
      <c r="T408" s="3"/>
      <c r="U408" s="3"/>
      <c r="V408" s="3"/>
      <c r="W408" s="3"/>
      <c r="X408" s="3"/>
      <c r="Y408" s="3"/>
      <c r="Z408" s="3"/>
    </row>
    <row r="409" customFormat="false" ht="15.75" hidden="false" customHeight="true" outlineLevel="0" collapsed="false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2"/>
      <c r="S409" s="3"/>
      <c r="T409" s="3"/>
      <c r="U409" s="3"/>
      <c r="V409" s="3"/>
      <c r="W409" s="3"/>
      <c r="X409" s="3"/>
      <c r="Y409" s="3"/>
      <c r="Z409" s="3"/>
    </row>
    <row r="410" customFormat="false" ht="15.75" hidden="false" customHeight="true" outlineLevel="0" collapsed="false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2"/>
      <c r="S410" s="3"/>
      <c r="T410" s="3"/>
      <c r="U410" s="3"/>
      <c r="V410" s="3"/>
      <c r="W410" s="3"/>
      <c r="X410" s="3"/>
      <c r="Y410" s="3"/>
      <c r="Z410" s="3"/>
    </row>
    <row r="411" customFormat="false" ht="15.75" hidden="false" customHeight="true" outlineLevel="0" collapsed="false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2"/>
      <c r="S411" s="3"/>
      <c r="T411" s="3"/>
      <c r="U411" s="3"/>
      <c r="V411" s="3"/>
      <c r="W411" s="3"/>
      <c r="X411" s="3"/>
      <c r="Y411" s="3"/>
      <c r="Z411" s="3"/>
    </row>
    <row r="412" customFormat="false" ht="15.75" hidden="false" customHeight="true" outlineLevel="0" collapsed="false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2"/>
      <c r="S412" s="3"/>
      <c r="T412" s="3"/>
      <c r="U412" s="3"/>
      <c r="V412" s="3"/>
      <c r="W412" s="3"/>
      <c r="X412" s="3"/>
      <c r="Y412" s="3"/>
      <c r="Z412" s="3"/>
    </row>
    <row r="413" customFormat="false" ht="15.75" hidden="false" customHeight="true" outlineLevel="0" collapsed="false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2"/>
      <c r="S413" s="3"/>
      <c r="T413" s="3"/>
      <c r="U413" s="3"/>
      <c r="V413" s="3"/>
      <c r="W413" s="3"/>
      <c r="X413" s="3"/>
      <c r="Y413" s="3"/>
      <c r="Z413" s="3"/>
    </row>
    <row r="414" customFormat="false" ht="15.75" hidden="false" customHeight="true" outlineLevel="0" collapsed="false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2"/>
      <c r="S414" s="3"/>
      <c r="T414" s="3"/>
      <c r="U414" s="3"/>
      <c r="V414" s="3"/>
      <c r="W414" s="3"/>
      <c r="X414" s="3"/>
      <c r="Y414" s="3"/>
      <c r="Z414" s="3"/>
    </row>
    <row r="415" customFormat="false" ht="15.75" hidden="false" customHeight="true" outlineLevel="0" collapsed="false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2"/>
      <c r="S415" s="3"/>
      <c r="T415" s="3"/>
      <c r="U415" s="3"/>
      <c r="V415" s="3"/>
      <c r="W415" s="3"/>
      <c r="X415" s="3"/>
      <c r="Y415" s="3"/>
      <c r="Z415" s="3"/>
    </row>
    <row r="416" customFormat="false" ht="15.75" hidden="false" customHeight="true" outlineLevel="0" collapsed="false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2"/>
      <c r="S416" s="3"/>
      <c r="T416" s="3"/>
      <c r="U416" s="3"/>
      <c r="V416" s="3"/>
      <c r="W416" s="3"/>
      <c r="X416" s="3"/>
      <c r="Y416" s="3"/>
      <c r="Z416" s="3"/>
    </row>
    <row r="417" customFormat="false" ht="15.75" hidden="false" customHeight="true" outlineLevel="0" collapsed="false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2"/>
      <c r="S417" s="3"/>
      <c r="T417" s="3"/>
      <c r="U417" s="3"/>
      <c r="V417" s="3"/>
      <c r="W417" s="3"/>
      <c r="X417" s="3"/>
      <c r="Y417" s="3"/>
      <c r="Z417" s="3"/>
    </row>
    <row r="418" customFormat="false" ht="15.75" hidden="false" customHeight="true" outlineLevel="0" collapsed="false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2"/>
      <c r="S418" s="3"/>
      <c r="T418" s="3"/>
      <c r="U418" s="3"/>
      <c r="V418" s="3"/>
      <c r="W418" s="3"/>
      <c r="X418" s="3"/>
      <c r="Y418" s="3"/>
      <c r="Z418" s="3"/>
    </row>
    <row r="419" customFormat="false" ht="15.75" hidden="false" customHeight="true" outlineLevel="0" collapsed="false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2"/>
      <c r="S419" s="3"/>
      <c r="T419" s="3"/>
      <c r="U419" s="3"/>
      <c r="V419" s="3"/>
      <c r="W419" s="3"/>
      <c r="X419" s="3"/>
      <c r="Y419" s="3"/>
      <c r="Z419" s="3"/>
    </row>
    <row r="420" customFormat="false" ht="15.75" hidden="false" customHeight="true" outlineLevel="0" collapsed="false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2"/>
      <c r="S420" s="3"/>
      <c r="T420" s="3"/>
      <c r="U420" s="3"/>
      <c r="V420" s="3"/>
      <c r="W420" s="3"/>
      <c r="X420" s="3"/>
      <c r="Y420" s="3"/>
      <c r="Z420" s="3"/>
    </row>
    <row r="421" customFormat="false" ht="15.75" hidden="false" customHeight="true" outlineLevel="0" collapsed="false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2"/>
      <c r="S421" s="3"/>
      <c r="T421" s="3"/>
      <c r="U421" s="3"/>
      <c r="V421" s="3"/>
      <c r="W421" s="3"/>
      <c r="X421" s="3"/>
      <c r="Y421" s="3"/>
      <c r="Z421" s="3"/>
    </row>
    <row r="422" customFormat="false" ht="15.75" hidden="false" customHeight="true" outlineLevel="0" collapsed="false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2"/>
      <c r="S422" s="3"/>
      <c r="T422" s="3"/>
      <c r="U422" s="3"/>
      <c r="V422" s="3"/>
      <c r="W422" s="3"/>
      <c r="X422" s="3"/>
      <c r="Y422" s="3"/>
      <c r="Z422" s="3"/>
    </row>
    <row r="423" customFormat="false" ht="15.75" hidden="false" customHeight="true" outlineLevel="0" collapsed="false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2"/>
      <c r="S423" s="3"/>
      <c r="T423" s="3"/>
      <c r="U423" s="3"/>
      <c r="V423" s="3"/>
      <c r="W423" s="3"/>
      <c r="X423" s="3"/>
      <c r="Y423" s="3"/>
      <c r="Z423" s="3"/>
    </row>
    <row r="424" customFormat="false" ht="15.75" hidden="false" customHeight="true" outlineLevel="0" collapsed="false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2"/>
      <c r="S424" s="3"/>
      <c r="T424" s="3"/>
      <c r="U424" s="3"/>
      <c r="V424" s="3"/>
      <c r="W424" s="3"/>
      <c r="X424" s="3"/>
      <c r="Y424" s="3"/>
      <c r="Z424" s="3"/>
    </row>
    <row r="425" customFormat="false" ht="15.75" hidden="false" customHeight="true" outlineLevel="0" collapsed="false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2"/>
      <c r="S425" s="3"/>
      <c r="T425" s="3"/>
      <c r="U425" s="3"/>
      <c r="V425" s="3"/>
      <c r="W425" s="3"/>
      <c r="X425" s="3"/>
      <c r="Y425" s="3"/>
      <c r="Z425" s="3"/>
    </row>
    <row r="426" customFormat="false" ht="15.75" hidden="false" customHeight="true" outlineLevel="0" collapsed="false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2"/>
      <c r="S426" s="3"/>
      <c r="T426" s="3"/>
      <c r="U426" s="3"/>
      <c r="V426" s="3"/>
      <c r="W426" s="3"/>
      <c r="X426" s="3"/>
      <c r="Y426" s="3"/>
      <c r="Z426" s="3"/>
    </row>
    <row r="427" customFormat="false" ht="15.75" hidden="false" customHeight="true" outlineLevel="0" collapsed="false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2"/>
      <c r="S427" s="3"/>
      <c r="T427" s="3"/>
      <c r="U427" s="3"/>
      <c r="V427" s="3"/>
      <c r="W427" s="3"/>
      <c r="X427" s="3"/>
      <c r="Y427" s="3"/>
      <c r="Z427" s="3"/>
    </row>
    <row r="428" customFormat="false" ht="15.75" hidden="false" customHeight="true" outlineLevel="0" collapsed="false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2"/>
      <c r="S428" s="3"/>
      <c r="T428" s="3"/>
      <c r="U428" s="3"/>
      <c r="V428" s="3"/>
      <c r="W428" s="3"/>
      <c r="X428" s="3"/>
      <c r="Y428" s="3"/>
      <c r="Z428" s="3"/>
    </row>
    <row r="429" customFormat="false" ht="15.75" hidden="false" customHeight="true" outlineLevel="0" collapsed="false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2"/>
      <c r="S429" s="3"/>
      <c r="T429" s="3"/>
      <c r="U429" s="3"/>
      <c r="V429" s="3"/>
      <c r="W429" s="3"/>
      <c r="X429" s="3"/>
      <c r="Y429" s="3"/>
      <c r="Z429" s="3"/>
    </row>
    <row r="430" customFormat="false" ht="15.75" hidden="false" customHeight="true" outlineLevel="0" collapsed="false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2"/>
      <c r="S430" s="3"/>
      <c r="T430" s="3"/>
      <c r="U430" s="3"/>
      <c r="V430" s="3"/>
      <c r="W430" s="3"/>
      <c r="X430" s="3"/>
      <c r="Y430" s="3"/>
      <c r="Z430" s="3"/>
    </row>
    <row r="431" customFormat="false" ht="15.75" hidden="false" customHeight="true" outlineLevel="0" collapsed="false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2"/>
      <c r="S431" s="3"/>
      <c r="T431" s="3"/>
      <c r="U431" s="3"/>
      <c r="V431" s="3"/>
      <c r="W431" s="3"/>
      <c r="X431" s="3"/>
      <c r="Y431" s="3"/>
      <c r="Z431" s="3"/>
    </row>
    <row r="432" customFormat="false" ht="15.75" hidden="false" customHeight="true" outlineLevel="0" collapsed="false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2"/>
      <c r="S432" s="3"/>
      <c r="T432" s="3"/>
      <c r="U432" s="3"/>
      <c r="V432" s="3"/>
      <c r="W432" s="3"/>
      <c r="X432" s="3"/>
      <c r="Y432" s="3"/>
      <c r="Z432" s="3"/>
    </row>
    <row r="433" customFormat="false" ht="15.75" hidden="false" customHeight="true" outlineLevel="0" collapsed="false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2"/>
      <c r="S433" s="3"/>
      <c r="T433" s="3"/>
      <c r="U433" s="3"/>
      <c r="V433" s="3"/>
      <c r="W433" s="3"/>
      <c r="X433" s="3"/>
      <c r="Y433" s="3"/>
      <c r="Z433" s="3"/>
    </row>
    <row r="434" customFormat="false" ht="15.75" hidden="false" customHeight="true" outlineLevel="0" collapsed="false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2"/>
      <c r="S434" s="3"/>
      <c r="T434" s="3"/>
      <c r="U434" s="3"/>
      <c r="V434" s="3"/>
      <c r="W434" s="3"/>
      <c r="X434" s="3"/>
      <c r="Y434" s="3"/>
      <c r="Z434" s="3"/>
    </row>
    <row r="435" customFormat="false" ht="15.75" hidden="false" customHeight="true" outlineLevel="0" collapsed="false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2"/>
      <c r="S435" s="3"/>
      <c r="T435" s="3"/>
      <c r="U435" s="3"/>
      <c r="V435" s="3"/>
      <c r="W435" s="3"/>
      <c r="X435" s="3"/>
      <c r="Y435" s="3"/>
      <c r="Z435" s="3"/>
    </row>
    <row r="436" customFormat="false" ht="15.75" hidden="false" customHeight="true" outlineLevel="0" collapsed="false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2"/>
      <c r="S436" s="3"/>
      <c r="T436" s="3"/>
      <c r="U436" s="3"/>
      <c r="V436" s="3"/>
      <c r="W436" s="3"/>
      <c r="X436" s="3"/>
      <c r="Y436" s="3"/>
      <c r="Z436" s="3"/>
    </row>
    <row r="437" customFormat="false" ht="15.75" hidden="false" customHeight="true" outlineLevel="0" collapsed="false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2"/>
      <c r="S437" s="3"/>
      <c r="T437" s="3"/>
      <c r="U437" s="3"/>
      <c r="V437" s="3"/>
      <c r="W437" s="3"/>
      <c r="X437" s="3"/>
      <c r="Y437" s="3"/>
      <c r="Z437" s="3"/>
    </row>
    <row r="438" customFormat="false" ht="15.75" hidden="false" customHeight="true" outlineLevel="0" collapsed="false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2"/>
      <c r="S438" s="3"/>
      <c r="T438" s="3"/>
      <c r="U438" s="3"/>
      <c r="V438" s="3"/>
      <c r="W438" s="3"/>
      <c r="X438" s="3"/>
      <c r="Y438" s="3"/>
      <c r="Z438" s="3"/>
    </row>
    <row r="439" customFormat="false" ht="15.75" hidden="false" customHeight="true" outlineLevel="0" collapsed="false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2"/>
      <c r="S439" s="3"/>
      <c r="T439" s="3"/>
      <c r="U439" s="3"/>
      <c r="V439" s="3"/>
      <c r="W439" s="3"/>
      <c r="X439" s="3"/>
      <c r="Y439" s="3"/>
      <c r="Z439" s="3"/>
    </row>
    <row r="440" customFormat="false" ht="15.75" hidden="false" customHeight="true" outlineLevel="0" collapsed="false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2"/>
      <c r="S440" s="3"/>
      <c r="T440" s="3"/>
      <c r="U440" s="3"/>
      <c r="V440" s="3"/>
      <c r="W440" s="3"/>
      <c r="X440" s="3"/>
      <c r="Y440" s="3"/>
      <c r="Z440" s="3"/>
    </row>
    <row r="441" customFormat="false" ht="15.75" hidden="false" customHeight="true" outlineLevel="0" collapsed="false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2"/>
      <c r="S441" s="3"/>
      <c r="T441" s="3"/>
      <c r="U441" s="3"/>
      <c r="V441" s="3"/>
      <c r="W441" s="3"/>
      <c r="X441" s="3"/>
      <c r="Y441" s="3"/>
      <c r="Z441" s="3"/>
    </row>
    <row r="442" customFormat="false" ht="15.75" hidden="false" customHeight="true" outlineLevel="0" collapsed="false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2"/>
      <c r="S442" s="3"/>
      <c r="T442" s="3"/>
      <c r="U442" s="3"/>
      <c r="V442" s="3"/>
      <c r="W442" s="3"/>
      <c r="X442" s="3"/>
      <c r="Y442" s="3"/>
      <c r="Z442" s="3"/>
    </row>
    <row r="443" customFormat="false" ht="15.75" hidden="false" customHeight="true" outlineLevel="0" collapsed="false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2"/>
      <c r="S443" s="3"/>
      <c r="T443" s="3"/>
      <c r="U443" s="3"/>
      <c r="V443" s="3"/>
      <c r="W443" s="3"/>
      <c r="X443" s="3"/>
      <c r="Y443" s="3"/>
      <c r="Z443" s="3"/>
    </row>
    <row r="444" customFormat="false" ht="15.75" hidden="false" customHeight="true" outlineLevel="0" collapsed="false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2"/>
      <c r="S444" s="3"/>
      <c r="T444" s="3"/>
      <c r="U444" s="3"/>
      <c r="V444" s="3"/>
      <c r="W444" s="3"/>
      <c r="X444" s="3"/>
      <c r="Y444" s="3"/>
      <c r="Z444" s="3"/>
    </row>
    <row r="445" customFormat="false" ht="15.75" hidden="false" customHeight="true" outlineLevel="0" collapsed="false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2"/>
      <c r="S445" s="3"/>
      <c r="T445" s="3"/>
      <c r="U445" s="3"/>
      <c r="V445" s="3"/>
      <c r="W445" s="3"/>
      <c r="X445" s="3"/>
      <c r="Y445" s="3"/>
      <c r="Z445" s="3"/>
    </row>
    <row r="446" customFormat="false" ht="15.75" hidden="false" customHeight="true" outlineLevel="0" collapsed="false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2"/>
      <c r="S446" s="3"/>
      <c r="T446" s="3"/>
      <c r="U446" s="3"/>
      <c r="V446" s="3"/>
      <c r="W446" s="3"/>
      <c r="X446" s="3"/>
      <c r="Y446" s="3"/>
      <c r="Z446" s="3"/>
    </row>
    <row r="447" customFormat="false" ht="15.75" hidden="false" customHeight="true" outlineLevel="0" collapsed="false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2"/>
      <c r="S447" s="3"/>
      <c r="T447" s="3"/>
      <c r="U447" s="3"/>
      <c r="V447" s="3"/>
      <c r="W447" s="3"/>
      <c r="X447" s="3"/>
      <c r="Y447" s="3"/>
      <c r="Z447" s="3"/>
    </row>
    <row r="448" customFormat="false" ht="15.75" hidden="false" customHeight="true" outlineLevel="0" collapsed="false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2"/>
      <c r="S448" s="3"/>
      <c r="T448" s="3"/>
      <c r="U448" s="3"/>
      <c r="V448" s="3"/>
      <c r="W448" s="3"/>
      <c r="X448" s="3"/>
      <c r="Y448" s="3"/>
      <c r="Z448" s="3"/>
    </row>
    <row r="449" customFormat="false" ht="15.75" hidden="false" customHeight="true" outlineLevel="0" collapsed="false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2"/>
      <c r="S449" s="3"/>
      <c r="T449" s="3"/>
      <c r="U449" s="3"/>
      <c r="V449" s="3"/>
      <c r="W449" s="3"/>
      <c r="X449" s="3"/>
      <c r="Y449" s="3"/>
      <c r="Z449" s="3"/>
    </row>
    <row r="450" customFormat="false" ht="15.75" hidden="false" customHeight="true" outlineLevel="0" collapsed="false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2"/>
      <c r="S450" s="3"/>
      <c r="T450" s="3"/>
      <c r="U450" s="3"/>
      <c r="V450" s="3"/>
      <c r="W450" s="3"/>
      <c r="X450" s="3"/>
      <c r="Y450" s="3"/>
      <c r="Z450" s="3"/>
    </row>
    <row r="451" customFormat="false" ht="15.75" hidden="false" customHeight="true" outlineLevel="0" collapsed="false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2"/>
      <c r="S451" s="3"/>
      <c r="T451" s="3"/>
      <c r="U451" s="3"/>
      <c r="V451" s="3"/>
      <c r="W451" s="3"/>
      <c r="X451" s="3"/>
      <c r="Y451" s="3"/>
      <c r="Z451" s="3"/>
    </row>
    <row r="452" customFormat="false" ht="15.75" hidden="false" customHeight="true" outlineLevel="0" collapsed="false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2"/>
      <c r="S452" s="3"/>
      <c r="T452" s="3"/>
      <c r="U452" s="3"/>
      <c r="V452" s="3"/>
      <c r="W452" s="3"/>
      <c r="X452" s="3"/>
      <c r="Y452" s="3"/>
      <c r="Z452" s="3"/>
    </row>
    <row r="453" customFormat="false" ht="15.75" hidden="false" customHeight="true" outlineLevel="0" collapsed="false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2"/>
      <c r="S453" s="3"/>
      <c r="T453" s="3"/>
      <c r="U453" s="3"/>
      <c r="V453" s="3"/>
      <c r="W453" s="3"/>
      <c r="X453" s="3"/>
      <c r="Y453" s="3"/>
      <c r="Z453" s="3"/>
    </row>
    <row r="454" customFormat="false" ht="15.75" hidden="false" customHeight="true" outlineLevel="0" collapsed="false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2"/>
      <c r="S454" s="3"/>
      <c r="T454" s="3"/>
      <c r="U454" s="3"/>
      <c r="V454" s="3"/>
      <c r="W454" s="3"/>
      <c r="X454" s="3"/>
      <c r="Y454" s="3"/>
      <c r="Z454" s="3"/>
    </row>
    <row r="455" customFormat="false" ht="15.75" hidden="false" customHeight="true" outlineLevel="0" collapsed="false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2"/>
      <c r="S455" s="3"/>
      <c r="T455" s="3"/>
      <c r="U455" s="3"/>
      <c r="V455" s="3"/>
      <c r="W455" s="3"/>
      <c r="X455" s="3"/>
      <c r="Y455" s="3"/>
      <c r="Z455" s="3"/>
    </row>
    <row r="456" customFormat="false" ht="15.75" hidden="false" customHeight="true" outlineLevel="0" collapsed="false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2"/>
      <c r="S456" s="3"/>
      <c r="T456" s="3"/>
      <c r="U456" s="3"/>
      <c r="V456" s="3"/>
      <c r="W456" s="3"/>
      <c r="X456" s="3"/>
      <c r="Y456" s="3"/>
      <c r="Z456" s="3"/>
    </row>
    <row r="457" customFormat="false" ht="15.75" hidden="false" customHeight="true" outlineLevel="0" collapsed="false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2"/>
      <c r="S457" s="3"/>
      <c r="T457" s="3"/>
      <c r="U457" s="3"/>
      <c r="V457" s="3"/>
      <c r="W457" s="3"/>
      <c r="X457" s="3"/>
      <c r="Y457" s="3"/>
      <c r="Z457" s="3"/>
    </row>
    <row r="458" customFormat="false" ht="15.75" hidden="false" customHeight="true" outlineLevel="0" collapsed="false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2"/>
      <c r="S458" s="3"/>
      <c r="T458" s="3"/>
      <c r="U458" s="3"/>
      <c r="V458" s="3"/>
      <c r="W458" s="3"/>
      <c r="X458" s="3"/>
      <c r="Y458" s="3"/>
      <c r="Z458" s="3"/>
    </row>
    <row r="459" customFormat="false" ht="15.75" hidden="false" customHeight="true" outlineLevel="0" collapsed="false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2"/>
      <c r="S459" s="3"/>
      <c r="T459" s="3"/>
      <c r="U459" s="3"/>
      <c r="V459" s="3"/>
      <c r="W459" s="3"/>
      <c r="X459" s="3"/>
      <c r="Y459" s="3"/>
      <c r="Z459" s="3"/>
    </row>
    <row r="460" customFormat="false" ht="15.75" hidden="false" customHeight="true" outlineLevel="0" collapsed="false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2"/>
      <c r="S460" s="3"/>
      <c r="T460" s="3"/>
      <c r="U460" s="3"/>
      <c r="V460" s="3"/>
      <c r="W460" s="3"/>
      <c r="X460" s="3"/>
      <c r="Y460" s="3"/>
      <c r="Z460" s="3"/>
    </row>
    <row r="461" customFormat="false" ht="15.75" hidden="false" customHeight="true" outlineLevel="0" collapsed="false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2"/>
      <c r="S461" s="3"/>
      <c r="T461" s="3"/>
      <c r="U461" s="3"/>
      <c r="V461" s="3"/>
      <c r="W461" s="3"/>
      <c r="X461" s="3"/>
      <c r="Y461" s="3"/>
      <c r="Z461" s="3"/>
    </row>
    <row r="462" customFormat="false" ht="15.75" hidden="false" customHeight="true" outlineLevel="0" collapsed="false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2"/>
      <c r="S462" s="3"/>
      <c r="T462" s="3"/>
      <c r="U462" s="3"/>
      <c r="V462" s="3"/>
      <c r="W462" s="3"/>
      <c r="X462" s="3"/>
      <c r="Y462" s="3"/>
      <c r="Z462" s="3"/>
    </row>
    <row r="463" customFormat="false" ht="15.75" hidden="false" customHeight="true" outlineLevel="0" collapsed="false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2"/>
      <c r="S463" s="3"/>
      <c r="T463" s="3"/>
      <c r="U463" s="3"/>
      <c r="V463" s="3"/>
      <c r="W463" s="3"/>
      <c r="X463" s="3"/>
      <c r="Y463" s="3"/>
      <c r="Z463" s="3"/>
    </row>
    <row r="464" customFormat="false" ht="15.75" hidden="false" customHeight="true" outlineLevel="0" collapsed="false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2"/>
      <c r="S464" s="3"/>
      <c r="T464" s="3"/>
      <c r="U464" s="3"/>
      <c r="V464" s="3"/>
      <c r="W464" s="3"/>
      <c r="X464" s="3"/>
      <c r="Y464" s="3"/>
      <c r="Z464" s="3"/>
    </row>
    <row r="465" customFormat="false" ht="15.75" hidden="false" customHeight="true" outlineLevel="0" collapsed="false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2"/>
      <c r="S465" s="3"/>
      <c r="T465" s="3"/>
      <c r="U465" s="3"/>
      <c r="V465" s="3"/>
      <c r="W465" s="3"/>
      <c r="X465" s="3"/>
      <c r="Y465" s="3"/>
      <c r="Z465" s="3"/>
    </row>
    <row r="466" customFormat="false" ht="15.75" hidden="false" customHeight="true" outlineLevel="0" collapsed="false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2"/>
      <c r="S466" s="3"/>
      <c r="T466" s="3"/>
      <c r="U466" s="3"/>
      <c r="V466" s="3"/>
      <c r="W466" s="3"/>
      <c r="X466" s="3"/>
      <c r="Y466" s="3"/>
      <c r="Z466" s="3"/>
    </row>
    <row r="467" customFormat="false" ht="15.75" hidden="false" customHeight="true" outlineLevel="0" collapsed="false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2"/>
      <c r="S467" s="3"/>
      <c r="T467" s="3"/>
      <c r="U467" s="3"/>
      <c r="V467" s="3"/>
      <c r="W467" s="3"/>
      <c r="X467" s="3"/>
      <c r="Y467" s="3"/>
      <c r="Z467" s="3"/>
    </row>
    <row r="468" customFormat="false" ht="15.75" hidden="false" customHeight="true" outlineLevel="0" collapsed="false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2"/>
      <c r="S468" s="3"/>
      <c r="T468" s="3"/>
      <c r="U468" s="3"/>
      <c r="V468" s="3"/>
      <c r="W468" s="3"/>
      <c r="X468" s="3"/>
      <c r="Y468" s="3"/>
      <c r="Z468" s="3"/>
    </row>
    <row r="469" customFormat="false" ht="15.75" hidden="false" customHeight="true" outlineLevel="0" collapsed="false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2"/>
      <c r="S469" s="3"/>
      <c r="T469" s="3"/>
      <c r="U469" s="3"/>
      <c r="V469" s="3"/>
      <c r="W469" s="3"/>
      <c r="X469" s="3"/>
      <c r="Y469" s="3"/>
      <c r="Z469" s="3"/>
    </row>
    <row r="470" customFormat="false" ht="15.75" hidden="false" customHeight="true" outlineLevel="0" collapsed="false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2"/>
      <c r="S470" s="3"/>
      <c r="T470" s="3"/>
      <c r="U470" s="3"/>
      <c r="V470" s="3"/>
      <c r="W470" s="3"/>
      <c r="X470" s="3"/>
      <c r="Y470" s="3"/>
      <c r="Z470" s="3"/>
    </row>
    <row r="471" customFormat="false" ht="15.75" hidden="false" customHeight="true" outlineLevel="0" collapsed="false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2"/>
      <c r="S471" s="3"/>
      <c r="T471" s="3"/>
      <c r="U471" s="3"/>
      <c r="V471" s="3"/>
      <c r="W471" s="3"/>
      <c r="X471" s="3"/>
      <c r="Y471" s="3"/>
      <c r="Z471" s="3"/>
    </row>
    <row r="472" customFormat="false" ht="15.75" hidden="false" customHeight="true" outlineLevel="0" collapsed="false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2"/>
      <c r="S472" s="3"/>
      <c r="T472" s="3"/>
      <c r="U472" s="3"/>
      <c r="V472" s="3"/>
      <c r="W472" s="3"/>
      <c r="X472" s="3"/>
      <c r="Y472" s="3"/>
      <c r="Z472" s="3"/>
    </row>
    <row r="473" customFormat="false" ht="15.75" hidden="false" customHeight="true" outlineLevel="0" collapsed="false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2"/>
      <c r="S473" s="3"/>
      <c r="T473" s="3"/>
      <c r="U473" s="3"/>
      <c r="V473" s="3"/>
      <c r="W473" s="3"/>
      <c r="X473" s="3"/>
      <c r="Y473" s="3"/>
      <c r="Z473" s="3"/>
    </row>
    <row r="474" customFormat="false" ht="15.75" hidden="false" customHeight="true" outlineLevel="0" collapsed="false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2"/>
      <c r="S474" s="3"/>
      <c r="T474" s="3"/>
      <c r="U474" s="3"/>
      <c r="V474" s="3"/>
      <c r="W474" s="3"/>
      <c r="X474" s="3"/>
      <c r="Y474" s="3"/>
      <c r="Z474" s="3"/>
    </row>
    <row r="475" customFormat="false" ht="15.75" hidden="false" customHeight="true" outlineLevel="0" collapsed="false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2"/>
      <c r="S475" s="3"/>
      <c r="T475" s="3"/>
      <c r="U475" s="3"/>
      <c r="V475" s="3"/>
      <c r="W475" s="3"/>
      <c r="X475" s="3"/>
      <c r="Y475" s="3"/>
      <c r="Z475" s="3"/>
    </row>
    <row r="476" customFormat="false" ht="15.75" hidden="false" customHeight="true" outlineLevel="0" collapsed="false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2"/>
      <c r="S476" s="3"/>
      <c r="T476" s="3"/>
      <c r="U476" s="3"/>
      <c r="V476" s="3"/>
      <c r="W476" s="3"/>
      <c r="X476" s="3"/>
      <c r="Y476" s="3"/>
      <c r="Z476" s="3"/>
    </row>
    <row r="477" customFormat="false" ht="15.75" hidden="false" customHeight="true" outlineLevel="0" collapsed="false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2"/>
      <c r="S477" s="3"/>
      <c r="T477" s="3"/>
      <c r="U477" s="3"/>
      <c r="V477" s="3"/>
      <c r="W477" s="3"/>
      <c r="X477" s="3"/>
      <c r="Y477" s="3"/>
      <c r="Z477" s="3"/>
    </row>
    <row r="478" customFormat="false" ht="15.75" hidden="false" customHeight="true" outlineLevel="0" collapsed="false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2"/>
      <c r="S478" s="3"/>
      <c r="T478" s="3"/>
      <c r="U478" s="3"/>
      <c r="V478" s="3"/>
      <c r="W478" s="3"/>
      <c r="X478" s="3"/>
      <c r="Y478" s="3"/>
      <c r="Z478" s="3"/>
    </row>
    <row r="479" customFormat="false" ht="15.75" hidden="false" customHeight="true" outlineLevel="0" collapsed="false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2"/>
      <c r="S479" s="3"/>
      <c r="T479" s="3"/>
      <c r="U479" s="3"/>
      <c r="V479" s="3"/>
      <c r="W479" s="3"/>
      <c r="X479" s="3"/>
      <c r="Y479" s="3"/>
      <c r="Z479" s="3"/>
    </row>
    <row r="480" customFormat="false" ht="15.75" hidden="false" customHeight="true" outlineLevel="0" collapsed="false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2"/>
      <c r="S480" s="3"/>
      <c r="T480" s="3"/>
      <c r="U480" s="3"/>
      <c r="V480" s="3"/>
      <c r="W480" s="3"/>
      <c r="X480" s="3"/>
      <c r="Y480" s="3"/>
      <c r="Z480" s="3"/>
    </row>
    <row r="481" customFormat="false" ht="15.75" hidden="false" customHeight="true" outlineLevel="0" collapsed="false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2"/>
      <c r="S481" s="3"/>
      <c r="T481" s="3"/>
      <c r="U481" s="3"/>
      <c r="V481" s="3"/>
      <c r="W481" s="3"/>
      <c r="X481" s="3"/>
      <c r="Y481" s="3"/>
      <c r="Z481" s="3"/>
    </row>
    <row r="482" customFormat="false" ht="15.75" hidden="false" customHeight="true" outlineLevel="0" collapsed="false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2"/>
      <c r="S482" s="3"/>
      <c r="T482" s="3"/>
      <c r="U482" s="3"/>
      <c r="V482" s="3"/>
      <c r="W482" s="3"/>
      <c r="X482" s="3"/>
      <c r="Y482" s="3"/>
      <c r="Z482" s="3"/>
    </row>
    <row r="483" customFormat="false" ht="15.75" hidden="false" customHeight="true" outlineLevel="0" collapsed="false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2"/>
      <c r="S483" s="3"/>
      <c r="T483" s="3"/>
      <c r="U483" s="3"/>
      <c r="V483" s="3"/>
      <c r="W483" s="3"/>
      <c r="X483" s="3"/>
      <c r="Y483" s="3"/>
      <c r="Z483" s="3"/>
    </row>
    <row r="484" customFormat="false" ht="15.75" hidden="false" customHeight="true" outlineLevel="0" collapsed="false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2"/>
      <c r="S484" s="3"/>
      <c r="T484" s="3"/>
      <c r="U484" s="3"/>
      <c r="V484" s="3"/>
      <c r="W484" s="3"/>
      <c r="X484" s="3"/>
      <c r="Y484" s="3"/>
      <c r="Z484" s="3"/>
    </row>
    <row r="485" customFormat="false" ht="15.75" hidden="false" customHeight="true" outlineLevel="0" collapsed="false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2"/>
      <c r="S485" s="3"/>
      <c r="T485" s="3"/>
      <c r="U485" s="3"/>
      <c r="V485" s="3"/>
      <c r="W485" s="3"/>
      <c r="X485" s="3"/>
      <c r="Y485" s="3"/>
      <c r="Z485" s="3"/>
    </row>
    <row r="486" customFormat="false" ht="15.75" hidden="false" customHeight="true" outlineLevel="0" collapsed="false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2"/>
      <c r="S486" s="3"/>
      <c r="T486" s="3"/>
      <c r="U486" s="3"/>
      <c r="V486" s="3"/>
      <c r="W486" s="3"/>
      <c r="X486" s="3"/>
      <c r="Y486" s="3"/>
      <c r="Z486" s="3"/>
    </row>
    <row r="487" customFormat="false" ht="15.75" hidden="false" customHeight="true" outlineLevel="0" collapsed="false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2"/>
      <c r="S487" s="3"/>
      <c r="T487" s="3"/>
      <c r="U487" s="3"/>
      <c r="V487" s="3"/>
      <c r="W487" s="3"/>
      <c r="X487" s="3"/>
      <c r="Y487" s="3"/>
      <c r="Z487" s="3"/>
    </row>
    <row r="488" customFormat="false" ht="15.75" hidden="false" customHeight="true" outlineLevel="0" collapsed="false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2"/>
      <c r="S488" s="3"/>
      <c r="T488" s="3"/>
      <c r="U488" s="3"/>
      <c r="V488" s="3"/>
      <c r="W488" s="3"/>
      <c r="X488" s="3"/>
      <c r="Y488" s="3"/>
      <c r="Z488" s="3"/>
    </row>
    <row r="489" customFormat="false" ht="15.75" hidden="false" customHeight="true" outlineLevel="0" collapsed="false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2"/>
      <c r="S489" s="3"/>
      <c r="T489" s="3"/>
      <c r="U489" s="3"/>
      <c r="V489" s="3"/>
      <c r="W489" s="3"/>
      <c r="X489" s="3"/>
      <c r="Y489" s="3"/>
      <c r="Z489" s="3"/>
    </row>
    <row r="490" customFormat="false" ht="15.75" hidden="false" customHeight="true" outlineLevel="0" collapsed="false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2"/>
      <c r="S490" s="3"/>
      <c r="T490" s="3"/>
      <c r="U490" s="3"/>
      <c r="V490" s="3"/>
      <c r="W490" s="3"/>
      <c r="X490" s="3"/>
      <c r="Y490" s="3"/>
      <c r="Z490" s="3"/>
    </row>
    <row r="491" customFormat="false" ht="15.75" hidden="false" customHeight="true" outlineLevel="0" collapsed="false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2"/>
      <c r="S491" s="3"/>
      <c r="T491" s="3"/>
      <c r="U491" s="3"/>
      <c r="V491" s="3"/>
      <c r="W491" s="3"/>
      <c r="X491" s="3"/>
      <c r="Y491" s="3"/>
      <c r="Z491" s="3"/>
    </row>
    <row r="492" customFormat="false" ht="15.75" hidden="false" customHeight="true" outlineLevel="0" collapsed="false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2"/>
      <c r="S492" s="3"/>
      <c r="T492" s="3"/>
      <c r="U492" s="3"/>
      <c r="V492" s="3"/>
      <c r="W492" s="3"/>
      <c r="X492" s="3"/>
      <c r="Y492" s="3"/>
      <c r="Z492" s="3"/>
    </row>
    <row r="493" customFormat="false" ht="15.75" hidden="false" customHeight="true" outlineLevel="0" collapsed="false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2"/>
      <c r="S493" s="3"/>
      <c r="T493" s="3"/>
      <c r="U493" s="3"/>
      <c r="V493" s="3"/>
      <c r="W493" s="3"/>
      <c r="X493" s="3"/>
      <c r="Y493" s="3"/>
      <c r="Z493" s="3"/>
    </row>
    <row r="494" customFormat="false" ht="15.75" hidden="false" customHeight="true" outlineLevel="0" collapsed="false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2"/>
      <c r="S494" s="3"/>
      <c r="T494" s="3"/>
      <c r="U494" s="3"/>
      <c r="V494" s="3"/>
      <c r="W494" s="3"/>
      <c r="X494" s="3"/>
      <c r="Y494" s="3"/>
      <c r="Z494" s="3"/>
    </row>
    <row r="495" customFormat="false" ht="15.75" hidden="false" customHeight="true" outlineLevel="0" collapsed="false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2"/>
      <c r="S495" s="3"/>
      <c r="T495" s="3"/>
      <c r="U495" s="3"/>
      <c r="V495" s="3"/>
      <c r="W495" s="3"/>
      <c r="X495" s="3"/>
      <c r="Y495" s="3"/>
      <c r="Z495" s="3"/>
    </row>
    <row r="496" customFormat="false" ht="15.75" hidden="false" customHeight="true" outlineLevel="0" collapsed="false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2"/>
      <c r="S496" s="3"/>
      <c r="T496" s="3"/>
      <c r="U496" s="3"/>
      <c r="V496" s="3"/>
      <c r="W496" s="3"/>
      <c r="X496" s="3"/>
      <c r="Y496" s="3"/>
      <c r="Z496" s="3"/>
    </row>
    <row r="497" customFormat="false" ht="15.75" hidden="false" customHeight="true" outlineLevel="0" collapsed="false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2"/>
      <c r="S497" s="3"/>
      <c r="T497" s="3"/>
      <c r="U497" s="3"/>
      <c r="V497" s="3"/>
      <c r="W497" s="3"/>
      <c r="X497" s="3"/>
      <c r="Y497" s="3"/>
      <c r="Z497" s="3"/>
    </row>
    <row r="498" customFormat="false" ht="15.75" hidden="false" customHeight="true" outlineLevel="0" collapsed="false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2"/>
      <c r="S498" s="3"/>
      <c r="T498" s="3"/>
      <c r="U498" s="3"/>
      <c r="V498" s="3"/>
      <c r="W498" s="3"/>
      <c r="X498" s="3"/>
      <c r="Y498" s="3"/>
      <c r="Z498" s="3"/>
    </row>
    <row r="499" customFormat="false" ht="15.75" hidden="false" customHeight="true" outlineLevel="0" collapsed="false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2"/>
      <c r="S499" s="3"/>
      <c r="T499" s="3"/>
      <c r="U499" s="3"/>
      <c r="V499" s="3"/>
      <c r="W499" s="3"/>
      <c r="X499" s="3"/>
      <c r="Y499" s="3"/>
      <c r="Z499" s="3"/>
    </row>
    <row r="500" customFormat="false" ht="15.75" hidden="false" customHeight="true" outlineLevel="0" collapsed="false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2"/>
      <c r="S500" s="3"/>
      <c r="T500" s="3"/>
      <c r="U500" s="3"/>
      <c r="V500" s="3"/>
      <c r="W500" s="3"/>
      <c r="X500" s="3"/>
      <c r="Y500" s="3"/>
      <c r="Z500" s="3"/>
    </row>
    <row r="501" customFormat="false" ht="15.75" hidden="false" customHeight="true" outlineLevel="0" collapsed="false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2"/>
      <c r="S501" s="3"/>
      <c r="T501" s="3"/>
      <c r="U501" s="3"/>
      <c r="V501" s="3"/>
      <c r="W501" s="3"/>
      <c r="X501" s="3"/>
      <c r="Y501" s="3"/>
      <c r="Z501" s="3"/>
    </row>
    <row r="502" customFormat="false" ht="15.75" hidden="false" customHeight="true" outlineLevel="0" collapsed="false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2"/>
      <c r="S502" s="3"/>
      <c r="T502" s="3"/>
      <c r="U502" s="3"/>
      <c r="V502" s="3"/>
      <c r="W502" s="3"/>
      <c r="X502" s="3"/>
      <c r="Y502" s="3"/>
      <c r="Z502" s="3"/>
    </row>
    <row r="503" customFormat="false" ht="15.75" hidden="false" customHeight="true" outlineLevel="0" collapsed="false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2"/>
      <c r="S503" s="3"/>
      <c r="T503" s="3"/>
      <c r="U503" s="3"/>
      <c r="V503" s="3"/>
      <c r="W503" s="3"/>
      <c r="X503" s="3"/>
      <c r="Y503" s="3"/>
      <c r="Z503" s="3"/>
    </row>
    <row r="504" customFormat="false" ht="15.75" hidden="false" customHeight="true" outlineLevel="0" collapsed="false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2"/>
      <c r="S504" s="3"/>
      <c r="T504" s="3"/>
      <c r="U504" s="3"/>
      <c r="V504" s="3"/>
      <c r="W504" s="3"/>
      <c r="X504" s="3"/>
      <c r="Y504" s="3"/>
      <c r="Z504" s="3"/>
    </row>
    <row r="505" customFormat="false" ht="15.75" hidden="false" customHeight="true" outlineLevel="0" collapsed="false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2"/>
      <c r="S505" s="3"/>
      <c r="T505" s="3"/>
      <c r="U505" s="3"/>
      <c r="V505" s="3"/>
      <c r="W505" s="3"/>
      <c r="X505" s="3"/>
      <c r="Y505" s="3"/>
      <c r="Z505" s="3"/>
    </row>
    <row r="506" customFormat="false" ht="15.75" hidden="false" customHeight="true" outlineLevel="0" collapsed="false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2"/>
      <c r="S506" s="3"/>
      <c r="T506" s="3"/>
      <c r="U506" s="3"/>
      <c r="V506" s="3"/>
      <c r="W506" s="3"/>
      <c r="X506" s="3"/>
      <c r="Y506" s="3"/>
      <c r="Z506" s="3"/>
    </row>
    <row r="507" customFormat="false" ht="15.75" hidden="false" customHeight="true" outlineLevel="0" collapsed="false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2"/>
      <c r="S507" s="3"/>
      <c r="T507" s="3"/>
      <c r="U507" s="3"/>
      <c r="V507" s="3"/>
      <c r="W507" s="3"/>
      <c r="X507" s="3"/>
      <c r="Y507" s="3"/>
      <c r="Z507" s="3"/>
    </row>
    <row r="508" customFormat="false" ht="15.75" hidden="false" customHeight="true" outlineLevel="0" collapsed="false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2"/>
      <c r="S508" s="3"/>
      <c r="T508" s="3"/>
      <c r="U508" s="3"/>
      <c r="V508" s="3"/>
      <c r="W508" s="3"/>
      <c r="X508" s="3"/>
      <c r="Y508" s="3"/>
      <c r="Z508" s="3"/>
    </row>
    <row r="509" customFormat="false" ht="15.75" hidden="false" customHeight="true" outlineLevel="0" collapsed="false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2"/>
      <c r="S509" s="3"/>
      <c r="T509" s="3"/>
      <c r="U509" s="3"/>
      <c r="V509" s="3"/>
      <c r="W509" s="3"/>
      <c r="X509" s="3"/>
      <c r="Y509" s="3"/>
      <c r="Z509" s="3"/>
    </row>
    <row r="510" customFormat="false" ht="15.75" hidden="false" customHeight="true" outlineLevel="0" collapsed="false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2"/>
      <c r="S510" s="3"/>
      <c r="T510" s="3"/>
      <c r="U510" s="3"/>
      <c r="V510" s="3"/>
      <c r="W510" s="3"/>
      <c r="X510" s="3"/>
      <c r="Y510" s="3"/>
      <c r="Z510" s="3"/>
    </row>
    <row r="511" customFormat="false" ht="15.75" hidden="false" customHeight="true" outlineLevel="0" collapsed="false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2"/>
      <c r="S511" s="3"/>
      <c r="T511" s="3"/>
      <c r="U511" s="3"/>
      <c r="V511" s="3"/>
      <c r="W511" s="3"/>
      <c r="X511" s="3"/>
      <c r="Y511" s="3"/>
      <c r="Z511" s="3"/>
    </row>
    <row r="512" customFormat="false" ht="15.75" hidden="false" customHeight="true" outlineLevel="0" collapsed="false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2"/>
      <c r="S512" s="3"/>
      <c r="T512" s="3"/>
      <c r="U512" s="3"/>
      <c r="V512" s="3"/>
      <c r="W512" s="3"/>
      <c r="X512" s="3"/>
      <c r="Y512" s="3"/>
      <c r="Z512" s="3"/>
    </row>
    <row r="513" customFormat="false" ht="15.75" hidden="false" customHeight="true" outlineLevel="0" collapsed="false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2"/>
      <c r="S513" s="3"/>
      <c r="T513" s="3"/>
      <c r="U513" s="3"/>
      <c r="V513" s="3"/>
      <c r="W513" s="3"/>
      <c r="X513" s="3"/>
      <c r="Y513" s="3"/>
      <c r="Z513" s="3"/>
    </row>
    <row r="514" customFormat="false" ht="15.75" hidden="false" customHeight="true" outlineLevel="0" collapsed="false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2"/>
      <c r="S514" s="3"/>
      <c r="T514" s="3"/>
      <c r="U514" s="3"/>
      <c r="V514" s="3"/>
      <c r="W514" s="3"/>
      <c r="X514" s="3"/>
      <c r="Y514" s="3"/>
      <c r="Z514" s="3"/>
    </row>
    <row r="515" customFormat="false" ht="15.75" hidden="false" customHeight="true" outlineLevel="0" collapsed="false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2"/>
      <c r="S515" s="3"/>
      <c r="T515" s="3"/>
      <c r="U515" s="3"/>
      <c r="V515" s="3"/>
      <c r="W515" s="3"/>
      <c r="X515" s="3"/>
      <c r="Y515" s="3"/>
      <c r="Z515" s="3"/>
    </row>
    <row r="516" customFormat="false" ht="15.75" hidden="false" customHeight="true" outlineLevel="0" collapsed="false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2"/>
      <c r="S516" s="3"/>
      <c r="T516" s="3"/>
      <c r="U516" s="3"/>
      <c r="V516" s="3"/>
      <c r="W516" s="3"/>
      <c r="X516" s="3"/>
      <c r="Y516" s="3"/>
      <c r="Z516" s="3"/>
    </row>
    <row r="517" customFormat="false" ht="15.75" hidden="false" customHeight="true" outlineLevel="0" collapsed="false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2"/>
      <c r="S517" s="3"/>
      <c r="T517" s="3"/>
      <c r="U517" s="3"/>
      <c r="V517" s="3"/>
      <c r="W517" s="3"/>
      <c r="X517" s="3"/>
      <c r="Y517" s="3"/>
      <c r="Z517" s="3"/>
    </row>
    <row r="518" customFormat="false" ht="15.75" hidden="false" customHeight="true" outlineLevel="0" collapsed="false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2"/>
      <c r="S518" s="3"/>
      <c r="T518" s="3"/>
      <c r="U518" s="3"/>
      <c r="V518" s="3"/>
      <c r="W518" s="3"/>
      <c r="X518" s="3"/>
      <c r="Y518" s="3"/>
      <c r="Z518" s="3"/>
    </row>
    <row r="519" customFormat="false" ht="15.75" hidden="false" customHeight="true" outlineLevel="0" collapsed="false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2"/>
      <c r="S519" s="3"/>
      <c r="T519" s="3"/>
      <c r="U519" s="3"/>
      <c r="V519" s="3"/>
      <c r="W519" s="3"/>
      <c r="X519" s="3"/>
      <c r="Y519" s="3"/>
      <c r="Z519" s="3"/>
    </row>
    <row r="520" customFormat="false" ht="15.75" hidden="false" customHeight="true" outlineLevel="0" collapsed="false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2"/>
      <c r="S520" s="3"/>
      <c r="T520" s="3"/>
      <c r="U520" s="3"/>
      <c r="V520" s="3"/>
      <c r="W520" s="3"/>
      <c r="X520" s="3"/>
      <c r="Y520" s="3"/>
      <c r="Z520" s="3"/>
    </row>
    <row r="521" customFormat="false" ht="15.75" hidden="false" customHeight="true" outlineLevel="0" collapsed="false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2"/>
      <c r="S521" s="3"/>
      <c r="T521" s="3"/>
      <c r="U521" s="3"/>
      <c r="V521" s="3"/>
      <c r="W521" s="3"/>
      <c r="X521" s="3"/>
      <c r="Y521" s="3"/>
      <c r="Z521" s="3"/>
    </row>
    <row r="522" customFormat="false" ht="15.75" hidden="false" customHeight="true" outlineLevel="0" collapsed="false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2"/>
      <c r="S522" s="3"/>
      <c r="T522" s="3"/>
      <c r="U522" s="3"/>
      <c r="V522" s="3"/>
      <c r="W522" s="3"/>
      <c r="X522" s="3"/>
      <c r="Y522" s="3"/>
      <c r="Z522" s="3"/>
    </row>
    <row r="523" customFormat="false" ht="15.75" hidden="false" customHeight="true" outlineLevel="0" collapsed="false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2"/>
      <c r="S523" s="3"/>
      <c r="T523" s="3"/>
      <c r="U523" s="3"/>
      <c r="V523" s="3"/>
      <c r="W523" s="3"/>
      <c r="X523" s="3"/>
      <c r="Y523" s="3"/>
      <c r="Z523" s="3"/>
    </row>
    <row r="524" customFormat="false" ht="15.75" hidden="false" customHeight="true" outlineLevel="0" collapsed="false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2"/>
      <c r="S524" s="3"/>
      <c r="T524" s="3"/>
      <c r="U524" s="3"/>
      <c r="V524" s="3"/>
      <c r="W524" s="3"/>
      <c r="X524" s="3"/>
      <c r="Y524" s="3"/>
      <c r="Z524" s="3"/>
    </row>
    <row r="525" customFormat="false" ht="15.75" hidden="false" customHeight="true" outlineLevel="0" collapsed="false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2"/>
      <c r="S525" s="3"/>
      <c r="T525" s="3"/>
      <c r="U525" s="3"/>
      <c r="V525" s="3"/>
      <c r="W525" s="3"/>
      <c r="X525" s="3"/>
      <c r="Y525" s="3"/>
      <c r="Z525" s="3"/>
    </row>
    <row r="526" customFormat="false" ht="15.75" hidden="false" customHeight="true" outlineLevel="0" collapsed="false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2"/>
      <c r="S526" s="3"/>
      <c r="T526" s="3"/>
      <c r="U526" s="3"/>
      <c r="V526" s="3"/>
      <c r="W526" s="3"/>
      <c r="X526" s="3"/>
      <c r="Y526" s="3"/>
      <c r="Z526" s="3"/>
    </row>
    <row r="527" customFormat="false" ht="15.75" hidden="false" customHeight="true" outlineLevel="0" collapsed="false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2"/>
      <c r="S527" s="3"/>
      <c r="T527" s="3"/>
      <c r="U527" s="3"/>
      <c r="V527" s="3"/>
      <c r="W527" s="3"/>
      <c r="X527" s="3"/>
      <c r="Y527" s="3"/>
      <c r="Z527" s="3"/>
    </row>
    <row r="528" customFormat="false" ht="15.75" hidden="false" customHeight="true" outlineLevel="0" collapsed="false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2"/>
      <c r="S528" s="3"/>
      <c r="T528" s="3"/>
      <c r="U528" s="3"/>
      <c r="V528" s="3"/>
      <c r="W528" s="3"/>
      <c r="X528" s="3"/>
      <c r="Y528" s="3"/>
      <c r="Z528" s="3"/>
    </row>
    <row r="529" customFormat="false" ht="15.75" hidden="false" customHeight="true" outlineLevel="0" collapsed="false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2"/>
      <c r="S529" s="3"/>
      <c r="T529" s="3"/>
      <c r="U529" s="3"/>
      <c r="V529" s="3"/>
      <c r="W529" s="3"/>
      <c r="X529" s="3"/>
      <c r="Y529" s="3"/>
      <c r="Z529" s="3"/>
    </row>
    <row r="530" customFormat="false" ht="15.75" hidden="false" customHeight="true" outlineLevel="0" collapsed="false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2"/>
      <c r="S530" s="3"/>
      <c r="T530" s="3"/>
      <c r="U530" s="3"/>
      <c r="V530" s="3"/>
      <c r="W530" s="3"/>
      <c r="X530" s="3"/>
      <c r="Y530" s="3"/>
      <c r="Z530" s="3"/>
    </row>
    <row r="531" customFormat="false" ht="15.75" hidden="false" customHeight="true" outlineLevel="0" collapsed="false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2"/>
      <c r="S531" s="3"/>
      <c r="T531" s="3"/>
      <c r="U531" s="3"/>
      <c r="V531" s="3"/>
      <c r="W531" s="3"/>
      <c r="X531" s="3"/>
      <c r="Y531" s="3"/>
      <c r="Z531" s="3"/>
    </row>
    <row r="532" customFormat="false" ht="15.75" hidden="false" customHeight="true" outlineLevel="0" collapsed="false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2"/>
      <c r="S532" s="3"/>
      <c r="T532" s="3"/>
      <c r="U532" s="3"/>
      <c r="V532" s="3"/>
      <c r="W532" s="3"/>
      <c r="X532" s="3"/>
      <c r="Y532" s="3"/>
      <c r="Z532" s="3"/>
    </row>
    <row r="533" customFormat="false" ht="15.75" hidden="false" customHeight="true" outlineLevel="0" collapsed="false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2"/>
      <c r="S533" s="3"/>
      <c r="T533" s="3"/>
      <c r="U533" s="3"/>
      <c r="V533" s="3"/>
      <c r="W533" s="3"/>
      <c r="X533" s="3"/>
      <c r="Y533" s="3"/>
      <c r="Z533" s="3"/>
    </row>
    <row r="534" customFormat="false" ht="15.75" hidden="false" customHeight="true" outlineLevel="0" collapsed="false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2"/>
      <c r="S534" s="3"/>
      <c r="T534" s="3"/>
      <c r="U534" s="3"/>
      <c r="V534" s="3"/>
      <c r="W534" s="3"/>
      <c r="X534" s="3"/>
      <c r="Y534" s="3"/>
      <c r="Z534" s="3"/>
    </row>
    <row r="535" customFormat="false" ht="15.75" hidden="false" customHeight="true" outlineLevel="0" collapsed="false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2"/>
      <c r="S535" s="3"/>
      <c r="T535" s="3"/>
      <c r="U535" s="3"/>
      <c r="V535" s="3"/>
      <c r="W535" s="3"/>
      <c r="X535" s="3"/>
      <c r="Y535" s="3"/>
      <c r="Z535" s="3"/>
    </row>
    <row r="536" customFormat="false" ht="15.75" hidden="false" customHeight="true" outlineLevel="0" collapsed="false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2"/>
      <c r="S536" s="3"/>
      <c r="T536" s="3"/>
      <c r="U536" s="3"/>
      <c r="V536" s="3"/>
      <c r="W536" s="3"/>
      <c r="X536" s="3"/>
      <c r="Y536" s="3"/>
      <c r="Z536" s="3"/>
    </row>
    <row r="537" customFormat="false" ht="15.75" hidden="false" customHeight="true" outlineLevel="0" collapsed="false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2"/>
      <c r="S537" s="3"/>
      <c r="T537" s="3"/>
      <c r="U537" s="3"/>
      <c r="V537" s="3"/>
      <c r="W537" s="3"/>
      <c r="X537" s="3"/>
      <c r="Y537" s="3"/>
      <c r="Z537" s="3"/>
    </row>
    <row r="538" customFormat="false" ht="15.75" hidden="false" customHeight="true" outlineLevel="0" collapsed="false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2"/>
      <c r="S538" s="3"/>
      <c r="T538" s="3"/>
      <c r="U538" s="3"/>
      <c r="V538" s="3"/>
      <c r="W538" s="3"/>
      <c r="X538" s="3"/>
      <c r="Y538" s="3"/>
      <c r="Z538" s="3"/>
    </row>
    <row r="539" customFormat="false" ht="15.75" hidden="false" customHeight="true" outlineLevel="0" collapsed="false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2"/>
      <c r="S539" s="3"/>
      <c r="T539" s="3"/>
      <c r="U539" s="3"/>
      <c r="V539" s="3"/>
      <c r="W539" s="3"/>
      <c r="X539" s="3"/>
      <c r="Y539" s="3"/>
      <c r="Z539" s="3"/>
    </row>
    <row r="540" customFormat="false" ht="15.75" hidden="false" customHeight="true" outlineLevel="0" collapsed="false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2"/>
      <c r="S540" s="3"/>
      <c r="T540" s="3"/>
      <c r="U540" s="3"/>
      <c r="V540" s="3"/>
      <c r="W540" s="3"/>
      <c r="X540" s="3"/>
      <c r="Y540" s="3"/>
      <c r="Z540" s="3"/>
    </row>
    <row r="541" customFormat="false" ht="15.75" hidden="false" customHeight="true" outlineLevel="0" collapsed="false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2"/>
      <c r="S541" s="3"/>
      <c r="T541" s="3"/>
      <c r="U541" s="3"/>
      <c r="V541" s="3"/>
      <c r="W541" s="3"/>
      <c r="X541" s="3"/>
      <c r="Y541" s="3"/>
      <c r="Z541" s="3"/>
    </row>
    <row r="542" customFormat="false" ht="15.75" hidden="false" customHeight="true" outlineLevel="0" collapsed="false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2"/>
      <c r="S542" s="3"/>
      <c r="T542" s="3"/>
      <c r="U542" s="3"/>
      <c r="V542" s="3"/>
      <c r="W542" s="3"/>
      <c r="X542" s="3"/>
      <c r="Y542" s="3"/>
      <c r="Z542" s="3"/>
    </row>
    <row r="543" customFormat="false" ht="15.75" hidden="false" customHeight="true" outlineLevel="0" collapsed="false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2"/>
      <c r="S543" s="3"/>
      <c r="T543" s="3"/>
      <c r="U543" s="3"/>
      <c r="V543" s="3"/>
      <c r="W543" s="3"/>
      <c r="X543" s="3"/>
      <c r="Y543" s="3"/>
      <c r="Z543" s="3"/>
    </row>
    <row r="544" customFormat="false" ht="15.75" hidden="false" customHeight="true" outlineLevel="0" collapsed="false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2"/>
      <c r="S544" s="3"/>
      <c r="T544" s="3"/>
      <c r="U544" s="3"/>
      <c r="V544" s="3"/>
      <c r="W544" s="3"/>
      <c r="X544" s="3"/>
      <c r="Y544" s="3"/>
      <c r="Z544" s="3"/>
    </row>
    <row r="545" customFormat="false" ht="15.75" hidden="false" customHeight="true" outlineLevel="0" collapsed="false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2"/>
      <c r="S545" s="3"/>
      <c r="T545" s="3"/>
      <c r="U545" s="3"/>
      <c r="V545" s="3"/>
      <c r="W545" s="3"/>
      <c r="X545" s="3"/>
      <c r="Y545" s="3"/>
      <c r="Z545" s="3"/>
    </row>
    <row r="546" customFormat="false" ht="15.75" hidden="false" customHeight="true" outlineLevel="0" collapsed="false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2"/>
      <c r="S546" s="3"/>
      <c r="T546" s="3"/>
      <c r="U546" s="3"/>
      <c r="V546" s="3"/>
      <c r="W546" s="3"/>
      <c r="X546" s="3"/>
      <c r="Y546" s="3"/>
      <c r="Z546" s="3"/>
    </row>
    <row r="547" customFormat="false" ht="15.75" hidden="false" customHeight="true" outlineLevel="0" collapsed="false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2"/>
      <c r="S547" s="3"/>
      <c r="T547" s="3"/>
      <c r="U547" s="3"/>
      <c r="V547" s="3"/>
      <c r="W547" s="3"/>
      <c r="X547" s="3"/>
      <c r="Y547" s="3"/>
      <c r="Z547" s="3"/>
    </row>
    <row r="548" customFormat="false" ht="15.75" hidden="false" customHeight="true" outlineLevel="0" collapsed="false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2"/>
      <c r="S548" s="3"/>
      <c r="T548" s="3"/>
      <c r="U548" s="3"/>
      <c r="V548" s="3"/>
      <c r="W548" s="3"/>
      <c r="X548" s="3"/>
      <c r="Y548" s="3"/>
      <c r="Z548" s="3"/>
    </row>
    <row r="549" customFormat="false" ht="15.75" hidden="false" customHeight="true" outlineLevel="0" collapsed="false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2"/>
      <c r="S549" s="3"/>
      <c r="T549" s="3"/>
      <c r="U549" s="3"/>
      <c r="V549" s="3"/>
      <c r="W549" s="3"/>
      <c r="X549" s="3"/>
      <c r="Y549" s="3"/>
      <c r="Z549" s="3"/>
    </row>
    <row r="550" customFormat="false" ht="15.75" hidden="false" customHeight="true" outlineLevel="0" collapsed="false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2"/>
      <c r="S550" s="3"/>
      <c r="T550" s="3"/>
      <c r="U550" s="3"/>
      <c r="V550" s="3"/>
      <c r="W550" s="3"/>
      <c r="X550" s="3"/>
      <c r="Y550" s="3"/>
      <c r="Z550" s="3"/>
    </row>
    <row r="551" customFormat="false" ht="15.75" hidden="false" customHeight="true" outlineLevel="0" collapsed="false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2"/>
      <c r="S551" s="3"/>
      <c r="T551" s="3"/>
      <c r="U551" s="3"/>
      <c r="V551" s="3"/>
      <c r="W551" s="3"/>
      <c r="X551" s="3"/>
      <c r="Y551" s="3"/>
      <c r="Z551" s="3"/>
    </row>
    <row r="552" customFormat="false" ht="15.75" hidden="false" customHeight="true" outlineLevel="0" collapsed="false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2"/>
      <c r="S552" s="3"/>
      <c r="T552" s="3"/>
      <c r="U552" s="3"/>
      <c r="V552" s="3"/>
      <c r="W552" s="3"/>
      <c r="X552" s="3"/>
      <c r="Y552" s="3"/>
      <c r="Z552" s="3"/>
    </row>
    <row r="553" customFormat="false" ht="15.75" hidden="false" customHeight="true" outlineLevel="0" collapsed="false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2"/>
      <c r="S553" s="3"/>
      <c r="T553" s="3"/>
      <c r="U553" s="3"/>
      <c r="V553" s="3"/>
      <c r="W553" s="3"/>
      <c r="X553" s="3"/>
      <c r="Y553" s="3"/>
      <c r="Z553" s="3"/>
    </row>
    <row r="554" customFormat="false" ht="15.75" hidden="false" customHeight="true" outlineLevel="0" collapsed="false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2"/>
      <c r="S554" s="3"/>
      <c r="T554" s="3"/>
      <c r="U554" s="3"/>
      <c r="V554" s="3"/>
      <c r="W554" s="3"/>
      <c r="X554" s="3"/>
      <c r="Y554" s="3"/>
      <c r="Z554" s="3"/>
    </row>
    <row r="555" customFormat="false" ht="15.75" hidden="false" customHeight="true" outlineLevel="0" collapsed="false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2"/>
      <c r="S555" s="3"/>
      <c r="T555" s="3"/>
      <c r="U555" s="3"/>
      <c r="V555" s="3"/>
      <c r="W555" s="3"/>
      <c r="X555" s="3"/>
      <c r="Y555" s="3"/>
      <c r="Z555" s="3"/>
    </row>
    <row r="556" customFormat="false" ht="15.75" hidden="false" customHeight="true" outlineLevel="0" collapsed="false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2"/>
      <c r="S556" s="3"/>
      <c r="T556" s="3"/>
      <c r="U556" s="3"/>
      <c r="V556" s="3"/>
      <c r="W556" s="3"/>
      <c r="X556" s="3"/>
      <c r="Y556" s="3"/>
      <c r="Z556" s="3"/>
    </row>
    <row r="557" customFormat="false" ht="15.75" hidden="false" customHeight="true" outlineLevel="0" collapsed="false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2"/>
      <c r="S557" s="3"/>
      <c r="T557" s="3"/>
      <c r="U557" s="3"/>
      <c r="V557" s="3"/>
      <c r="W557" s="3"/>
      <c r="X557" s="3"/>
      <c r="Y557" s="3"/>
      <c r="Z557" s="3"/>
    </row>
    <row r="558" customFormat="false" ht="15.75" hidden="false" customHeight="true" outlineLevel="0" collapsed="false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2"/>
      <c r="S558" s="3"/>
      <c r="T558" s="3"/>
      <c r="U558" s="3"/>
      <c r="V558" s="3"/>
      <c r="W558" s="3"/>
      <c r="X558" s="3"/>
      <c r="Y558" s="3"/>
      <c r="Z558" s="3"/>
    </row>
    <row r="559" customFormat="false" ht="15.75" hidden="false" customHeight="true" outlineLevel="0" collapsed="false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2"/>
      <c r="S559" s="3"/>
      <c r="T559" s="3"/>
      <c r="U559" s="3"/>
      <c r="V559" s="3"/>
      <c r="W559" s="3"/>
      <c r="X559" s="3"/>
      <c r="Y559" s="3"/>
      <c r="Z559" s="3"/>
    </row>
    <row r="560" customFormat="false" ht="15.75" hidden="false" customHeight="true" outlineLevel="0" collapsed="false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2"/>
      <c r="S560" s="3"/>
      <c r="T560" s="3"/>
      <c r="U560" s="3"/>
      <c r="V560" s="3"/>
      <c r="W560" s="3"/>
      <c r="X560" s="3"/>
      <c r="Y560" s="3"/>
      <c r="Z560" s="3"/>
    </row>
    <row r="561" customFormat="false" ht="15.75" hidden="false" customHeight="true" outlineLevel="0" collapsed="false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2"/>
      <c r="S561" s="3"/>
      <c r="T561" s="3"/>
      <c r="U561" s="3"/>
      <c r="V561" s="3"/>
      <c r="W561" s="3"/>
      <c r="X561" s="3"/>
      <c r="Y561" s="3"/>
      <c r="Z561" s="3"/>
    </row>
    <row r="562" customFormat="false" ht="15.75" hidden="false" customHeight="true" outlineLevel="0" collapsed="false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2"/>
      <c r="S562" s="3"/>
      <c r="T562" s="3"/>
      <c r="U562" s="3"/>
      <c r="V562" s="3"/>
      <c r="W562" s="3"/>
      <c r="X562" s="3"/>
      <c r="Y562" s="3"/>
      <c r="Z562" s="3"/>
    </row>
    <row r="563" customFormat="false" ht="15.75" hidden="false" customHeight="true" outlineLevel="0" collapsed="false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2"/>
      <c r="S563" s="3"/>
      <c r="T563" s="3"/>
      <c r="U563" s="3"/>
      <c r="V563" s="3"/>
      <c r="W563" s="3"/>
      <c r="X563" s="3"/>
      <c r="Y563" s="3"/>
      <c r="Z563" s="3"/>
    </row>
    <row r="564" customFormat="false" ht="15.75" hidden="false" customHeight="true" outlineLevel="0" collapsed="false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2"/>
      <c r="S564" s="3"/>
      <c r="T564" s="3"/>
      <c r="U564" s="3"/>
      <c r="V564" s="3"/>
      <c r="W564" s="3"/>
      <c r="X564" s="3"/>
      <c r="Y564" s="3"/>
      <c r="Z564" s="3"/>
    </row>
    <row r="565" customFormat="false" ht="15.75" hidden="false" customHeight="true" outlineLevel="0" collapsed="false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2"/>
      <c r="S565" s="3"/>
      <c r="T565" s="3"/>
      <c r="U565" s="3"/>
      <c r="V565" s="3"/>
      <c r="W565" s="3"/>
      <c r="X565" s="3"/>
      <c r="Y565" s="3"/>
      <c r="Z565" s="3"/>
    </row>
    <row r="566" customFormat="false" ht="15.75" hidden="false" customHeight="true" outlineLevel="0" collapsed="false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2"/>
      <c r="S566" s="3"/>
      <c r="T566" s="3"/>
      <c r="U566" s="3"/>
      <c r="V566" s="3"/>
      <c r="W566" s="3"/>
      <c r="X566" s="3"/>
      <c r="Y566" s="3"/>
      <c r="Z566" s="3"/>
    </row>
    <row r="567" customFormat="false" ht="15.75" hidden="false" customHeight="true" outlineLevel="0" collapsed="false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2"/>
      <c r="S567" s="3"/>
      <c r="T567" s="3"/>
      <c r="U567" s="3"/>
      <c r="V567" s="3"/>
      <c r="W567" s="3"/>
      <c r="X567" s="3"/>
      <c r="Y567" s="3"/>
      <c r="Z567" s="3"/>
    </row>
    <row r="568" customFormat="false" ht="15.75" hidden="false" customHeight="true" outlineLevel="0" collapsed="false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2"/>
      <c r="S568" s="3"/>
      <c r="T568" s="3"/>
      <c r="U568" s="3"/>
      <c r="V568" s="3"/>
      <c r="W568" s="3"/>
      <c r="X568" s="3"/>
      <c r="Y568" s="3"/>
      <c r="Z568" s="3"/>
    </row>
    <row r="569" customFormat="false" ht="15.75" hidden="false" customHeight="true" outlineLevel="0" collapsed="false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2"/>
      <c r="S569" s="3"/>
      <c r="T569" s="3"/>
      <c r="U569" s="3"/>
      <c r="V569" s="3"/>
      <c r="W569" s="3"/>
      <c r="X569" s="3"/>
      <c r="Y569" s="3"/>
      <c r="Z569" s="3"/>
    </row>
    <row r="570" customFormat="false" ht="15.75" hidden="false" customHeight="true" outlineLevel="0" collapsed="false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2"/>
      <c r="S570" s="3"/>
      <c r="T570" s="3"/>
      <c r="U570" s="3"/>
      <c r="V570" s="3"/>
      <c r="W570" s="3"/>
      <c r="X570" s="3"/>
      <c r="Y570" s="3"/>
      <c r="Z570" s="3"/>
    </row>
    <row r="571" customFormat="false" ht="15.75" hidden="false" customHeight="true" outlineLevel="0" collapsed="false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2"/>
      <c r="S571" s="3"/>
      <c r="T571" s="3"/>
      <c r="U571" s="3"/>
      <c r="V571" s="3"/>
      <c r="W571" s="3"/>
      <c r="X571" s="3"/>
      <c r="Y571" s="3"/>
      <c r="Z571" s="3"/>
    </row>
    <row r="572" customFormat="false" ht="15.75" hidden="false" customHeight="true" outlineLevel="0" collapsed="false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2"/>
      <c r="S572" s="3"/>
      <c r="T572" s="3"/>
      <c r="U572" s="3"/>
      <c r="V572" s="3"/>
      <c r="W572" s="3"/>
      <c r="X572" s="3"/>
      <c r="Y572" s="3"/>
      <c r="Z572" s="3"/>
    </row>
    <row r="573" customFormat="false" ht="15.75" hidden="false" customHeight="true" outlineLevel="0" collapsed="false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2"/>
      <c r="S573" s="3"/>
      <c r="T573" s="3"/>
      <c r="U573" s="3"/>
      <c r="V573" s="3"/>
      <c r="W573" s="3"/>
      <c r="X573" s="3"/>
      <c r="Y573" s="3"/>
      <c r="Z573" s="3"/>
    </row>
    <row r="574" customFormat="false" ht="15.75" hidden="false" customHeight="true" outlineLevel="0" collapsed="false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2"/>
      <c r="S574" s="3"/>
      <c r="T574" s="3"/>
      <c r="U574" s="3"/>
      <c r="V574" s="3"/>
      <c r="W574" s="3"/>
      <c r="X574" s="3"/>
      <c r="Y574" s="3"/>
      <c r="Z574" s="3"/>
    </row>
    <row r="575" customFormat="false" ht="15.75" hidden="false" customHeight="true" outlineLevel="0" collapsed="false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2"/>
      <c r="S575" s="3"/>
      <c r="T575" s="3"/>
      <c r="U575" s="3"/>
      <c r="V575" s="3"/>
      <c r="W575" s="3"/>
      <c r="X575" s="3"/>
      <c r="Y575" s="3"/>
      <c r="Z575" s="3"/>
    </row>
    <row r="576" customFormat="false" ht="15.75" hidden="false" customHeight="true" outlineLevel="0" collapsed="false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2"/>
      <c r="S576" s="3"/>
      <c r="T576" s="3"/>
      <c r="U576" s="3"/>
      <c r="V576" s="3"/>
      <c r="W576" s="3"/>
      <c r="X576" s="3"/>
      <c r="Y576" s="3"/>
      <c r="Z576" s="3"/>
    </row>
    <row r="577" customFormat="false" ht="15.75" hidden="false" customHeight="true" outlineLevel="0" collapsed="false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2"/>
      <c r="S577" s="3"/>
      <c r="T577" s="3"/>
      <c r="U577" s="3"/>
      <c r="V577" s="3"/>
      <c r="W577" s="3"/>
      <c r="X577" s="3"/>
      <c r="Y577" s="3"/>
      <c r="Z577" s="3"/>
    </row>
    <row r="578" customFormat="false" ht="15.75" hidden="false" customHeight="true" outlineLevel="0" collapsed="false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2"/>
      <c r="S578" s="3"/>
      <c r="T578" s="3"/>
      <c r="U578" s="3"/>
      <c r="V578" s="3"/>
      <c r="W578" s="3"/>
      <c r="X578" s="3"/>
      <c r="Y578" s="3"/>
      <c r="Z578" s="3"/>
    </row>
    <row r="579" customFormat="false" ht="15.75" hidden="false" customHeight="true" outlineLevel="0" collapsed="false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2"/>
      <c r="S579" s="3"/>
      <c r="T579" s="3"/>
      <c r="U579" s="3"/>
      <c r="V579" s="3"/>
      <c r="W579" s="3"/>
      <c r="X579" s="3"/>
      <c r="Y579" s="3"/>
      <c r="Z579" s="3"/>
    </row>
    <row r="580" customFormat="false" ht="15.75" hidden="false" customHeight="true" outlineLevel="0" collapsed="false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2"/>
      <c r="S580" s="3"/>
      <c r="T580" s="3"/>
      <c r="U580" s="3"/>
      <c r="V580" s="3"/>
      <c r="W580" s="3"/>
      <c r="X580" s="3"/>
      <c r="Y580" s="3"/>
      <c r="Z580" s="3"/>
    </row>
    <row r="581" customFormat="false" ht="15.75" hidden="false" customHeight="true" outlineLevel="0" collapsed="false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2"/>
      <c r="S581" s="3"/>
      <c r="T581" s="3"/>
      <c r="U581" s="3"/>
      <c r="V581" s="3"/>
      <c r="W581" s="3"/>
      <c r="X581" s="3"/>
      <c r="Y581" s="3"/>
      <c r="Z581" s="3"/>
    </row>
    <row r="582" customFormat="false" ht="15.75" hidden="false" customHeight="true" outlineLevel="0" collapsed="false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2"/>
      <c r="S582" s="3"/>
      <c r="T582" s="3"/>
      <c r="U582" s="3"/>
      <c r="V582" s="3"/>
      <c r="W582" s="3"/>
      <c r="X582" s="3"/>
      <c r="Y582" s="3"/>
      <c r="Z582" s="3"/>
    </row>
    <row r="583" customFormat="false" ht="15.75" hidden="false" customHeight="true" outlineLevel="0" collapsed="false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2"/>
      <c r="S583" s="3"/>
      <c r="T583" s="3"/>
      <c r="U583" s="3"/>
      <c r="V583" s="3"/>
      <c r="W583" s="3"/>
      <c r="X583" s="3"/>
      <c r="Y583" s="3"/>
      <c r="Z583" s="3"/>
    </row>
    <row r="584" customFormat="false" ht="15.75" hidden="false" customHeight="true" outlineLevel="0" collapsed="false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2"/>
      <c r="S584" s="3"/>
      <c r="T584" s="3"/>
      <c r="U584" s="3"/>
      <c r="V584" s="3"/>
      <c r="W584" s="3"/>
      <c r="X584" s="3"/>
      <c r="Y584" s="3"/>
      <c r="Z584" s="3"/>
    </row>
    <row r="585" customFormat="false" ht="15.75" hidden="false" customHeight="true" outlineLevel="0" collapsed="false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2"/>
      <c r="S585" s="3"/>
      <c r="T585" s="3"/>
      <c r="U585" s="3"/>
      <c r="V585" s="3"/>
      <c r="W585" s="3"/>
      <c r="X585" s="3"/>
      <c r="Y585" s="3"/>
      <c r="Z585" s="3"/>
    </row>
    <row r="586" customFormat="false" ht="15.75" hidden="false" customHeight="true" outlineLevel="0" collapsed="false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2"/>
      <c r="S586" s="3"/>
      <c r="T586" s="3"/>
      <c r="U586" s="3"/>
      <c r="V586" s="3"/>
      <c r="W586" s="3"/>
      <c r="X586" s="3"/>
      <c r="Y586" s="3"/>
      <c r="Z586" s="3"/>
    </row>
    <row r="587" customFormat="false" ht="15.75" hidden="false" customHeight="true" outlineLevel="0" collapsed="false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2"/>
      <c r="S587" s="3"/>
      <c r="T587" s="3"/>
      <c r="U587" s="3"/>
      <c r="V587" s="3"/>
      <c r="W587" s="3"/>
      <c r="X587" s="3"/>
      <c r="Y587" s="3"/>
      <c r="Z587" s="3"/>
    </row>
    <row r="588" customFormat="false" ht="15.75" hidden="false" customHeight="true" outlineLevel="0" collapsed="false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2"/>
      <c r="S588" s="3"/>
      <c r="T588" s="3"/>
      <c r="U588" s="3"/>
      <c r="V588" s="3"/>
      <c r="W588" s="3"/>
      <c r="X588" s="3"/>
      <c r="Y588" s="3"/>
      <c r="Z588" s="3"/>
    </row>
    <row r="589" customFormat="false" ht="15.75" hidden="false" customHeight="true" outlineLevel="0" collapsed="false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2"/>
      <c r="S589" s="3"/>
      <c r="T589" s="3"/>
      <c r="U589" s="3"/>
      <c r="V589" s="3"/>
      <c r="W589" s="3"/>
      <c r="X589" s="3"/>
      <c r="Y589" s="3"/>
      <c r="Z589" s="3"/>
    </row>
    <row r="590" customFormat="false" ht="15.75" hidden="false" customHeight="true" outlineLevel="0" collapsed="false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2"/>
      <c r="S590" s="3"/>
      <c r="T590" s="3"/>
      <c r="U590" s="3"/>
      <c r="V590" s="3"/>
      <c r="W590" s="3"/>
      <c r="X590" s="3"/>
      <c r="Y590" s="3"/>
      <c r="Z590" s="3"/>
    </row>
    <row r="591" customFormat="false" ht="15.75" hidden="false" customHeight="true" outlineLevel="0" collapsed="false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2"/>
      <c r="S591" s="3"/>
      <c r="T591" s="3"/>
      <c r="U591" s="3"/>
      <c r="V591" s="3"/>
      <c r="W591" s="3"/>
      <c r="X591" s="3"/>
      <c r="Y591" s="3"/>
      <c r="Z591" s="3"/>
    </row>
    <row r="592" customFormat="false" ht="15.75" hidden="false" customHeight="true" outlineLevel="0" collapsed="false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2"/>
      <c r="S592" s="3"/>
      <c r="T592" s="3"/>
      <c r="U592" s="3"/>
      <c r="V592" s="3"/>
      <c r="W592" s="3"/>
      <c r="X592" s="3"/>
      <c r="Y592" s="3"/>
      <c r="Z592" s="3"/>
    </row>
    <row r="593" customFormat="false" ht="15.75" hidden="false" customHeight="true" outlineLevel="0" collapsed="false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2"/>
      <c r="S593" s="3"/>
      <c r="T593" s="3"/>
      <c r="U593" s="3"/>
      <c r="V593" s="3"/>
      <c r="W593" s="3"/>
      <c r="X593" s="3"/>
      <c r="Y593" s="3"/>
      <c r="Z593" s="3"/>
    </row>
    <row r="594" customFormat="false" ht="15.75" hidden="false" customHeight="true" outlineLevel="0" collapsed="false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2"/>
      <c r="S594" s="3"/>
      <c r="T594" s="3"/>
      <c r="U594" s="3"/>
      <c r="V594" s="3"/>
      <c r="W594" s="3"/>
      <c r="X594" s="3"/>
      <c r="Y594" s="3"/>
      <c r="Z594" s="3"/>
    </row>
    <row r="595" customFormat="false" ht="15.75" hidden="false" customHeight="true" outlineLevel="0" collapsed="false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2"/>
      <c r="S595" s="3"/>
      <c r="T595" s="3"/>
      <c r="U595" s="3"/>
      <c r="V595" s="3"/>
      <c r="W595" s="3"/>
      <c r="X595" s="3"/>
      <c r="Y595" s="3"/>
      <c r="Z595" s="3"/>
    </row>
    <row r="596" customFormat="false" ht="15.75" hidden="false" customHeight="true" outlineLevel="0" collapsed="false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2"/>
      <c r="S596" s="3"/>
      <c r="T596" s="3"/>
      <c r="U596" s="3"/>
      <c r="V596" s="3"/>
      <c r="W596" s="3"/>
      <c r="X596" s="3"/>
      <c r="Y596" s="3"/>
      <c r="Z596" s="3"/>
    </row>
    <row r="597" customFormat="false" ht="15.75" hidden="false" customHeight="true" outlineLevel="0" collapsed="false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2"/>
      <c r="S597" s="3"/>
      <c r="T597" s="3"/>
      <c r="U597" s="3"/>
      <c r="V597" s="3"/>
      <c r="W597" s="3"/>
      <c r="X597" s="3"/>
      <c r="Y597" s="3"/>
      <c r="Z597" s="3"/>
    </row>
    <row r="598" customFormat="false" ht="15.75" hidden="false" customHeight="true" outlineLevel="0" collapsed="false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2"/>
      <c r="S598" s="3"/>
      <c r="T598" s="3"/>
      <c r="U598" s="3"/>
      <c r="V598" s="3"/>
      <c r="W598" s="3"/>
      <c r="X598" s="3"/>
      <c r="Y598" s="3"/>
      <c r="Z598" s="3"/>
    </row>
    <row r="599" customFormat="false" ht="15.75" hidden="false" customHeight="true" outlineLevel="0" collapsed="false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2"/>
      <c r="S599" s="3"/>
      <c r="T599" s="3"/>
      <c r="U599" s="3"/>
      <c r="V599" s="3"/>
      <c r="W599" s="3"/>
      <c r="X599" s="3"/>
      <c r="Y599" s="3"/>
      <c r="Z599" s="3"/>
    </row>
    <row r="600" customFormat="false" ht="15.75" hidden="false" customHeight="true" outlineLevel="0" collapsed="false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2"/>
      <c r="S600" s="3"/>
      <c r="T600" s="3"/>
      <c r="U600" s="3"/>
      <c r="V600" s="3"/>
      <c r="W600" s="3"/>
      <c r="X600" s="3"/>
      <c r="Y600" s="3"/>
      <c r="Z600" s="3"/>
    </row>
    <row r="601" customFormat="false" ht="15.75" hidden="false" customHeight="true" outlineLevel="0" collapsed="false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2"/>
      <c r="S601" s="3"/>
      <c r="T601" s="3"/>
      <c r="U601" s="3"/>
      <c r="V601" s="3"/>
      <c r="W601" s="3"/>
      <c r="X601" s="3"/>
      <c r="Y601" s="3"/>
      <c r="Z601" s="3"/>
    </row>
    <row r="602" customFormat="false" ht="15.75" hidden="false" customHeight="true" outlineLevel="0" collapsed="false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2"/>
      <c r="S602" s="3"/>
      <c r="T602" s="3"/>
      <c r="U602" s="3"/>
      <c r="V602" s="3"/>
      <c r="W602" s="3"/>
      <c r="X602" s="3"/>
      <c r="Y602" s="3"/>
      <c r="Z602" s="3"/>
    </row>
    <row r="603" customFormat="false" ht="15.75" hidden="false" customHeight="true" outlineLevel="0" collapsed="false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2"/>
      <c r="S603" s="3"/>
      <c r="T603" s="3"/>
      <c r="U603" s="3"/>
      <c r="V603" s="3"/>
      <c r="W603" s="3"/>
      <c r="X603" s="3"/>
      <c r="Y603" s="3"/>
      <c r="Z603" s="3"/>
    </row>
    <row r="604" customFormat="false" ht="15.75" hidden="false" customHeight="true" outlineLevel="0" collapsed="false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2"/>
      <c r="S604" s="3"/>
      <c r="T604" s="3"/>
      <c r="U604" s="3"/>
      <c r="V604" s="3"/>
      <c r="W604" s="3"/>
      <c r="X604" s="3"/>
      <c r="Y604" s="3"/>
      <c r="Z604" s="3"/>
    </row>
    <row r="605" customFormat="false" ht="15.75" hidden="false" customHeight="true" outlineLevel="0" collapsed="false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2"/>
      <c r="S605" s="3"/>
      <c r="T605" s="3"/>
      <c r="U605" s="3"/>
      <c r="V605" s="3"/>
      <c r="W605" s="3"/>
      <c r="X605" s="3"/>
      <c r="Y605" s="3"/>
      <c r="Z605" s="3"/>
    </row>
    <row r="606" customFormat="false" ht="15.75" hidden="false" customHeight="true" outlineLevel="0" collapsed="false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2"/>
      <c r="S606" s="3"/>
      <c r="T606" s="3"/>
      <c r="U606" s="3"/>
      <c r="V606" s="3"/>
      <c r="W606" s="3"/>
      <c r="X606" s="3"/>
      <c r="Y606" s="3"/>
      <c r="Z606" s="3"/>
    </row>
    <row r="607" customFormat="false" ht="15.75" hidden="false" customHeight="true" outlineLevel="0" collapsed="false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2"/>
      <c r="S607" s="3"/>
      <c r="T607" s="3"/>
      <c r="U607" s="3"/>
      <c r="V607" s="3"/>
      <c r="W607" s="3"/>
      <c r="X607" s="3"/>
      <c r="Y607" s="3"/>
      <c r="Z607" s="3"/>
    </row>
    <row r="608" customFormat="false" ht="15.75" hidden="false" customHeight="true" outlineLevel="0" collapsed="false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2"/>
      <c r="S608" s="3"/>
      <c r="T608" s="3"/>
      <c r="U608" s="3"/>
      <c r="V608" s="3"/>
      <c r="W608" s="3"/>
      <c r="X608" s="3"/>
      <c r="Y608" s="3"/>
      <c r="Z608" s="3"/>
    </row>
    <row r="609" customFormat="false" ht="15.75" hidden="false" customHeight="true" outlineLevel="0" collapsed="false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2"/>
      <c r="S609" s="3"/>
      <c r="T609" s="3"/>
      <c r="U609" s="3"/>
      <c r="V609" s="3"/>
      <c r="W609" s="3"/>
      <c r="X609" s="3"/>
      <c r="Y609" s="3"/>
      <c r="Z609" s="3"/>
    </row>
    <row r="610" customFormat="false" ht="15.75" hidden="false" customHeight="true" outlineLevel="0" collapsed="false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2"/>
      <c r="S610" s="3"/>
      <c r="T610" s="3"/>
      <c r="U610" s="3"/>
      <c r="V610" s="3"/>
      <c r="W610" s="3"/>
      <c r="X610" s="3"/>
      <c r="Y610" s="3"/>
      <c r="Z610" s="3"/>
    </row>
    <row r="611" customFormat="false" ht="15.75" hidden="false" customHeight="true" outlineLevel="0" collapsed="false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2"/>
      <c r="S611" s="3"/>
      <c r="T611" s="3"/>
      <c r="U611" s="3"/>
      <c r="V611" s="3"/>
      <c r="W611" s="3"/>
      <c r="X611" s="3"/>
      <c r="Y611" s="3"/>
      <c r="Z611" s="3"/>
    </row>
    <row r="612" customFormat="false" ht="15.75" hidden="false" customHeight="true" outlineLevel="0" collapsed="false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2"/>
      <c r="S612" s="3"/>
      <c r="T612" s="3"/>
      <c r="U612" s="3"/>
      <c r="V612" s="3"/>
      <c r="W612" s="3"/>
      <c r="X612" s="3"/>
      <c r="Y612" s="3"/>
      <c r="Z612" s="3"/>
    </row>
    <row r="613" customFormat="false" ht="15.75" hidden="false" customHeight="true" outlineLevel="0" collapsed="false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2"/>
      <c r="S613" s="3"/>
      <c r="T613" s="3"/>
      <c r="U613" s="3"/>
      <c r="V613" s="3"/>
      <c r="W613" s="3"/>
      <c r="X613" s="3"/>
      <c r="Y613" s="3"/>
      <c r="Z613" s="3"/>
    </row>
    <row r="614" customFormat="false" ht="15.75" hidden="false" customHeight="true" outlineLevel="0" collapsed="false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2"/>
      <c r="S614" s="3"/>
      <c r="T614" s="3"/>
      <c r="U614" s="3"/>
      <c r="V614" s="3"/>
      <c r="W614" s="3"/>
      <c r="X614" s="3"/>
      <c r="Y614" s="3"/>
      <c r="Z614" s="3"/>
    </row>
    <row r="615" customFormat="false" ht="15.75" hidden="false" customHeight="true" outlineLevel="0" collapsed="false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2"/>
      <c r="S615" s="3"/>
      <c r="T615" s="3"/>
      <c r="U615" s="3"/>
      <c r="V615" s="3"/>
      <c r="W615" s="3"/>
      <c r="X615" s="3"/>
      <c r="Y615" s="3"/>
      <c r="Z615" s="3"/>
    </row>
    <row r="616" customFormat="false" ht="15.75" hidden="false" customHeight="true" outlineLevel="0" collapsed="false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2"/>
      <c r="S616" s="3"/>
      <c r="T616" s="3"/>
      <c r="U616" s="3"/>
      <c r="V616" s="3"/>
      <c r="W616" s="3"/>
      <c r="X616" s="3"/>
      <c r="Y616" s="3"/>
      <c r="Z616" s="3"/>
    </row>
    <row r="617" customFormat="false" ht="15.75" hidden="false" customHeight="true" outlineLevel="0" collapsed="false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2"/>
      <c r="S617" s="3"/>
      <c r="T617" s="3"/>
      <c r="U617" s="3"/>
      <c r="V617" s="3"/>
      <c r="W617" s="3"/>
      <c r="X617" s="3"/>
      <c r="Y617" s="3"/>
      <c r="Z617" s="3"/>
    </row>
    <row r="618" customFormat="false" ht="15.75" hidden="false" customHeight="true" outlineLevel="0" collapsed="false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2"/>
      <c r="S618" s="3"/>
      <c r="T618" s="3"/>
      <c r="U618" s="3"/>
      <c r="V618" s="3"/>
      <c r="W618" s="3"/>
      <c r="X618" s="3"/>
      <c r="Y618" s="3"/>
      <c r="Z618" s="3"/>
    </row>
    <row r="619" customFormat="false" ht="15.75" hidden="false" customHeight="true" outlineLevel="0" collapsed="false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2"/>
      <c r="S619" s="3"/>
      <c r="T619" s="3"/>
      <c r="U619" s="3"/>
      <c r="V619" s="3"/>
      <c r="W619" s="3"/>
      <c r="X619" s="3"/>
      <c r="Y619" s="3"/>
      <c r="Z619" s="3"/>
    </row>
    <row r="620" customFormat="false" ht="15.75" hidden="false" customHeight="true" outlineLevel="0" collapsed="false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2"/>
      <c r="S620" s="3"/>
      <c r="T620" s="3"/>
      <c r="U620" s="3"/>
      <c r="V620" s="3"/>
      <c r="W620" s="3"/>
      <c r="X620" s="3"/>
      <c r="Y620" s="3"/>
      <c r="Z620" s="3"/>
    </row>
    <row r="621" customFormat="false" ht="15.75" hidden="false" customHeight="true" outlineLevel="0" collapsed="false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2"/>
      <c r="S621" s="3"/>
      <c r="T621" s="3"/>
      <c r="U621" s="3"/>
      <c r="V621" s="3"/>
      <c r="W621" s="3"/>
      <c r="X621" s="3"/>
      <c r="Y621" s="3"/>
      <c r="Z621" s="3"/>
    </row>
    <row r="622" customFormat="false" ht="15.75" hidden="false" customHeight="true" outlineLevel="0" collapsed="false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2"/>
      <c r="S622" s="3"/>
      <c r="T622" s="3"/>
      <c r="U622" s="3"/>
      <c r="V622" s="3"/>
      <c r="W622" s="3"/>
      <c r="X622" s="3"/>
      <c r="Y622" s="3"/>
      <c r="Z622" s="3"/>
    </row>
    <row r="623" customFormat="false" ht="15.75" hidden="false" customHeight="true" outlineLevel="0" collapsed="false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2"/>
      <c r="S623" s="3"/>
      <c r="T623" s="3"/>
      <c r="U623" s="3"/>
      <c r="V623" s="3"/>
      <c r="W623" s="3"/>
      <c r="X623" s="3"/>
      <c r="Y623" s="3"/>
      <c r="Z623" s="3"/>
    </row>
    <row r="624" customFormat="false" ht="15.75" hidden="false" customHeight="true" outlineLevel="0" collapsed="false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2"/>
      <c r="S624" s="3"/>
      <c r="T624" s="3"/>
      <c r="U624" s="3"/>
      <c r="V624" s="3"/>
      <c r="W624" s="3"/>
      <c r="X624" s="3"/>
      <c r="Y624" s="3"/>
      <c r="Z624" s="3"/>
    </row>
    <row r="625" customFormat="false" ht="15.75" hidden="false" customHeight="true" outlineLevel="0" collapsed="false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2"/>
      <c r="S625" s="3"/>
      <c r="T625" s="3"/>
      <c r="U625" s="3"/>
      <c r="V625" s="3"/>
      <c r="W625" s="3"/>
      <c r="X625" s="3"/>
      <c r="Y625" s="3"/>
      <c r="Z625" s="3"/>
    </row>
    <row r="626" customFormat="false" ht="15.75" hidden="false" customHeight="true" outlineLevel="0" collapsed="false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2"/>
      <c r="S626" s="3"/>
      <c r="T626" s="3"/>
      <c r="U626" s="3"/>
      <c r="V626" s="3"/>
      <c r="W626" s="3"/>
      <c r="X626" s="3"/>
      <c r="Y626" s="3"/>
      <c r="Z626" s="3"/>
    </row>
    <row r="627" customFormat="false" ht="15.75" hidden="false" customHeight="true" outlineLevel="0" collapsed="false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2"/>
      <c r="S627" s="3"/>
      <c r="T627" s="3"/>
      <c r="U627" s="3"/>
      <c r="V627" s="3"/>
      <c r="W627" s="3"/>
      <c r="X627" s="3"/>
      <c r="Y627" s="3"/>
      <c r="Z627" s="3"/>
    </row>
    <row r="628" customFormat="false" ht="15.75" hidden="false" customHeight="true" outlineLevel="0" collapsed="false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2"/>
      <c r="S628" s="3"/>
      <c r="T628" s="3"/>
      <c r="U628" s="3"/>
      <c r="V628" s="3"/>
      <c r="W628" s="3"/>
      <c r="X628" s="3"/>
      <c r="Y628" s="3"/>
      <c r="Z628" s="3"/>
    </row>
    <row r="629" customFormat="false" ht="15.75" hidden="false" customHeight="true" outlineLevel="0" collapsed="false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2"/>
      <c r="S629" s="3"/>
      <c r="T629" s="3"/>
      <c r="U629" s="3"/>
      <c r="V629" s="3"/>
      <c r="W629" s="3"/>
      <c r="X629" s="3"/>
      <c r="Y629" s="3"/>
      <c r="Z629" s="3"/>
    </row>
    <row r="630" customFormat="false" ht="15.75" hidden="false" customHeight="true" outlineLevel="0" collapsed="false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2"/>
      <c r="S630" s="3"/>
      <c r="T630" s="3"/>
      <c r="U630" s="3"/>
      <c r="V630" s="3"/>
      <c r="W630" s="3"/>
      <c r="X630" s="3"/>
      <c r="Y630" s="3"/>
      <c r="Z630" s="3"/>
    </row>
    <row r="631" customFormat="false" ht="15.75" hidden="false" customHeight="true" outlineLevel="0" collapsed="false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2"/>
      <c r="S631" s="3"/>
      <c r="T631" s="3"/>
      <c r="U631" s="3"/>
      <c r="V631" s="3"/>
      <c r="W631" s="3"/>
      <c r="X631" s="3"/>
      <c r="Y631" s="3"/>
      <c r="Z631" s="3"/>
    </row>
    <row r="632" customFormat="false" ht="15.75" hidden="false" customHeight="true" outlineLevel="0" collapsed="false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2"/>
      <c r="S632" s="3"/>
      <c r="T632" s="3"/>
      <c r="U632" s="3"/>
      <c r="V632" s="3"/>
      <c r="W632" s="3"/>
      <c r="X632" s="3"/>
      <c r="Y632" s="3"/>
      <c r="Z632" s="3"/>
    </row>
    <row r="633" customFormat="false" ht="15.75" hidden="false" customHeight="true" outlineLevel="0" collapsed="false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2"/>
      <c r="S633" s="3"/>
      <c r="T633" s="3"/>
      <c r="U633" s="3"/>
      <c r="V633" s="3"/>
      <c r="W633" s="3"/>
      <c r="X633" s="3"/>
      <c r="Y633" s="3"/>
      <c r="Z633" s="3"/>
    </row>
    <row r="634" customFormat="false" ht="15.75" hidden="false" customHeight="true" outlineLevel="0" collapsed="false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2"/>
      <c r="S634" s="3"/>
      <c r="T634" s="3"/>
      <c r="U634" s="3"/>
      <c r="V634" s="3"/>
      <c r="W634" s="3"/>
      <c r="X634" s="3"/>
      <c r="Y634" s="3"/>
      <c r="Z634" s="3"/>
    </row>
    <row r="635" customFormat="false" ht="15.75" hidden="false" customHeight="true" outlineLevel="0" collapsed="false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2"/>
      <c r="S635" s="3"/>
      <c r="T635" s="3"/>
      <c r="U635" s="3"/>
      <c r="V635" s="3"/>
      <c r="W635" s="3"/>
      <c r="X635" s="3"/>
      <c r="Y635" s="3"/>
      <c r="Z635" s="3"/>
    </row>
    <row r="636" customFormat="false" ht="15.75" hidden="false" customHeight="true" outlineLevel="0" collapsed="false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2"/>
      <c r="S636" s="3"/>
      <c r="T636" s="3"/>
      <c r="U636" s="3"/>
      <c r="V636" s="3"/>
      <c r="W636" s="3"/>
      <c r="X636" s="3"/>
      <c r="Y636" s="3"/>
      <c r="Z636" s="3"/>
    </row>
    <row r="637" customFormat="false" ht="15.75" hidden="false" customHeight="true" outlineLevel="0" collapsed="false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2"/>
      <c r="S637" s="3"/>
      <c r="T637" s="3"/>
      <c r="U637" s="3"/>
      <c r="V637" s="3"/>
      <c r="W637" s="3"/>
      <c r="X637" s="3"/>
      <c r="Y637" s="3"/>
      <c r="Z637" s="3"/>
    </row>
    <row r="638" customFormat="false" ht="15.75" hidden="false" customHeight="true" outlineLevel="0" collapsed="false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2"/>
      <c r="S638" s="3"/>
      <c r="T638" s="3"/>
      <c r="U638" s="3"/>
      <c r="V638" s="3"/>
      <c r="W638" s="3"/>
      <c r="X638" s="3"/>
      <c r="Y638" s="3"/>
      <c r="Z638" s="3"/>
    </row>
    <row r="639" customFormat="false" ht="15.75" hidden="false" customHeight="true" outlineLevel="0" collapsed="false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2"/>
      <c r="S639" s="3"/>
      <c r="T639" s="3"/>
      <c r="U639" s="3"/>
      <c r="V639" s="3"/>
      <c r="W639" s="3"/>
      <c r="X639" s="3"/>
      <c r="Y639" s="3"/>
      <c r="Z639" s="3"/>
    </row>
    <row r="640" customFormat="false" ht="15.75" hidden="false" customHeight="true" outlineLevel="0" collapsed="false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2"/>
      <c r="S640" s="3"/>
      <c r="T640" s="3"/>
      <c r="U640" s="3"/>
      <c r="V640" s="3"/>
      <c r="W640" s="3"/>
      <c r="X640" s="3"/>
      <c r="Y640" s="3"/>
      <c r="Z640" s="3"/>
    </row>
    <row r="641" customFormat="false" ht="15.75" hidden="false" customHeight="true" outlineLevel="0" collapsed="false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2"/>
      <c r="S641" s="3"/>
      <c r="T641" s="3"/>
      <c r="U641" s="3"/>
      <c r="V641" s="3"/>
      <c r="W641" s="3"/>
      <c r="X641" s="3"/>
      <c r="Y641" s="3"/>
      <c r="Z641" s="3"/>
    </row>
    <row r="642" customFormat="false" ht="15.75" hidden="false" customHeight="true" outlineLevel="0" collapsed="false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2"/>
      <c r="S642" s="3"/>
      <c r="T642" s="3"/>
      <c r="U642" s="3"/>
      <c r="V642" s="3"/>
      <c r="W642" s="3"/>
      <c r="X642" s="3"/>
      <c r="Y642" s="3"/>
      <c r="Z642" s="3"/>
    </row>
    <row r="643" customFormat="false" ht="15.75" hidden="false" customHeight="true" outlineLevel="0" collapsed="false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2"/>
      <c r="S643" s="3"/>
      <c r="T643" s="3"/>
      <c r="U643" s="3"/>
      <c r="V643" s="3"/>
      <c r="W643" s="3"/>
      <c r="X643" s="3"/>
      <c r="Y643" s="3"/>
      <c r="Z643" s="3"/>
    </row>
    <row r="644" customFormat="false" ht="15.75" hidden="false" customHeight="true" outlineLevel="0" collapsed="false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2"/>
      <c r="S644" s="3"/>
      <c r="T644" s="3"/>
      <c r="U644" s="3"/>
      <c r="V644" s="3"/>
      <c r="W644" s="3"/>
      <c r="X644" s="3"/>
      <c r="Y644" s="3"/>
      <c r="Z644" s="3"/>
    </row>
    <row r="645" customFormat="false" ht="15.75" hidden="false" customHeight="true" outlineLevel="0" collapsed="false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2"/>
      <c r="S645" s="3"/>
      <c r="T645" s="3"/>
      <c r="U645" s="3"/>
      <c r="V645" s="3"/>
      <c r="W645" s="3"/>
      <c r="X645" s="3"/>
      <c r="Y645" s="3"/>
      <c r="Z645" s="3"/>
    </row>
    <row r="646" customFormat="false" ht="15.75" hidden="false" customHeight="true" outlineLevel="0" collapsed="false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2"/>
      <c r="S646" s="3"/>
      <c r="T646" s="3"/>
      <c r="U646" s="3"/>
      <c r="V646" s="3"/>
      <c r="W646" s="3"/>
      <c r="X646" s="3"/>
      <c r="Y646" s="3"/>
      <c r="Z646" s="3"/>
    </row>
    <row r="647" customFormat="false" ht="15.75" hidden="false" customHeight="true" outlineLevel="0" collapsed="false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2"/>
      <c r="S647" s="3"/>
      <c r="T647" s="3"/>
      <c r="U647" s="3"/>
      <c r="V647" s="3"/>
      <c r="W647" s="3"/>
      <c r="X647" s="3"/>
      <c r="Y647" s="3"/>
      <c r="Z647" s="3"/>
    </row>
    <row r="648" customFormat="false" ht="15.75" hidden="false" customHeight="true" outlineLevel="0" collapsed="false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2"/>
      <c r="S648" s="3"/>
      <c r="T648" s="3"/>
      <c r="U648" s="3"/>
      <c r="V648" s="3"/>
      <c r="W648" s="3"/>
      <c r="X648" s="3"/>
      <c r="Y648" s="3"/>
      <c r="Z648" s="3"/>
    </row>
    <row r="649" customFormat="false" ht="15.75" hidden="false" customHeight="true" outlineLevel="0" collapsed="false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2"/>
      <c r="S649" s="3"/>
      <c r="T649" s="3"/>
      <c r="U649" s="3"/>
      <c r="V649" s="3"/>
      <c r="W649" s="3"/>
      <c r="X649" s="3"/>
      <c r="Y649" s="3"/>
      <c r="Z649" s="3"/>
    </row>
    <row r="650" customFormat="false" ht="15.75" hidden="false" customHeight="true" outlineLevel="0" collapsed="false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2"/>
      <c r="S650" s="3"/>
      <c r="T650" s="3"/>
      <c r="U650" s="3"/>
      <c r="V650" s="3"/>
      <c r="W650" s="3"/>
      <c r="X650" s="3"/>
      <c r="Y650" s="3"/>
      <c r="Z650" s="3"/>
    </row>
    <row r="651" customFormat="false" ht="15.75" hidden="false" customHeight="true" outlineLevel="0" collapsed="false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2"/>
      <c r="S651" s="3"/>
      <c r="T651" s="3"/>
      <c r="U651" s="3"/>
      <c r="V651" s="3"/>
      <c r="W651" s="3"/>
      <c r="X651" s="3"/>
      <c r="Y651" s="3"/>
      <c r="Z651" s="3"/>
    </row>
    <row r="652" customFormat="false" ht="15.75" hidden="false" customHeight="true" outlineLevel="0" collapsed="false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2"/>
      <c r="S652" s="3"/>
      <c r="T652" s="3"/>
      <c r="U652" s="3"/>
      <c r="V652" s="3"/>
      <c r="W652" s="3"/>
      <c r="X652" s="3"/>
      <c r="Y652" s="3"/>
      <c r="Z652" s="3"/>
    </row>
    <row r="653" customFormat="false" ht="15.75" hidden="false" customHeight="true" outlineLevel="0" collapsed="false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2"/>
      <c r="S653" s="3"/>
      <c r="T653" s="3"/>
      <c r="U653" s="3"/>
      <c r="V653" s="3"/>
      <c r="W653" s="3"/>
      <c r="X653" s="3"/>
      <c r="Y653" s="3"/>
      <c r="Z653" s="3"/>
    </row>
    <row r="654" customFormat="false" ht="15.75" hidden="false" customHeight="true" outlineLevel="0" collapsed="false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2"/>
      <c r="S654" s="3"/>
      <c r="T654" s="3"/>
      <c r="U654" s="3"/>
      <c r="V654" s="3"/>
      <c r="W654" s="3"/>
      <c r="X654" s="3"/>
      <c r="Y654" s="3"/>
      <c r="Z654" s="3"/>
    </row>
    <row r="655" customFormat="false" ht="15.75" hidden="false" customHeight="true" outlineLevel="0" collapsed="false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2"/>
      <c r="S655" s="3"/>
      <c r="T655" s="3"/>
      <c r="U655" s="3"/>
      <c r="V655" s="3"/>
      <c r="W655" s="3"/>
      <c r="X655" s="3"/>
      <c r="Y655" s="3"/>
      <c r="Z655" s="3"/>
    </row>
    <row r="656" customFormat="false" ht="15.75" hidden="false" customHeight="true" outlineLevel="0" collapsed="false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2"/>
      <c r="S656" s="3"/>
      <c r="T656" s="3"/>
      <c r="U656" s="3"/>
      <c r="V656" s="3"/>
      <c r="W656" s="3"/>
      <c r="X656" s="3"/>
      <c r="Y656" s="3"/>
      <c r="Z656" s="3"/>
    </row>
    <row r="657" customFormat="false" ht="15.75" hidden="false" customHeight="true" outlineLevel="0" collapsed="false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2"/>
      <c r="S657" s="3"/>
      <c r="T657" s="3"/>
      <c r="U657" s="3"/>
      <c r="V657" s="3"/>
      <c r="W657" s="3"/>
      <c r="X657" s="3"/>
      <c r="Y657" s="3"/>
      <c r="Z657" s="3"/>
    </row>
    <row r="658" customFormat="false" ht="15.75" hidden="false" customHeight="true" outlineLevel="0" collapsed="false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2"/>
      <c r="S658" s="3"/>
      <c r="T658" s="3"/>
      <c r="U658" s="3"/>
      <c r="V658" s="3"/>
      <c r="W658" s="3"/>
      <c r="X658" s="3"/>
      <c r="Y658" s="3"/>
      <c r="Z658" s="3"/>
    </row>
    <row r="659" customFormat="false" ht="15.75" hidden="false" customHeight="true" outlineLevel="0" collapsed="false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2"/>
      <c r="S659" s="3"/>
      <c r="T659" s="3"/>
      <c r="U659" s="3"/>
      <c r="V659" s="3"/>
      <c r="W659" s="3"/>
      <c r="X659" s="3"/>
      <c r="Y659" s="3"/>
      <c r="Z659" s="3"/>
    </row>
    <row r="660" customFormat="false" ht="15.75" hidden="false" customHeight="true" outlineLevel="0" collapsed="false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2"/>
      <c r="S660" s="3"/>
      <c r="T660" s="3"/>
      <c r="U660" s="3"/>
      <c r="V660" s="3"/>
      <c r="W660" s="3"/>
      <c r="X660" s="3"/>
      <c r="Y660" s="3"/>
      <c r="Z660" s="3"/>
    </row>
    <row r="661" customFormat="false" ht="15.75" hidden="false" customHeight="true" outlineLevel="0" collapsed="false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2"/>
      <c r="S661" s="3"/>
      <c r="T661" s="3"/>
      <c r="U661" s="3"/>
      <c r="V661" s="3"/>
      <c r="W661" s="3"/>
      <c r="X661" s="3"/>
      <c r="Y661" s="3"/>
      <c r="Z661" s="3"/>
    </row>
    <row r="662" customFormat="false" ht="15.75" hidden="false" customHeight="true" outlineLevel="0" collapsed="false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2"/>
      <c r="S662" s="3"/>
      <c r="T662" s="3"/>
      <c r="U662" s="3"/>
      <c r="V662" s="3"/>
      <c r="W662" s="3"/>
      <c r="X662" s="3"/>
      <c r="Y662" s="3"/>
      <c r="Z662" s="3"/>
    </row>
    <row r="663" customFormat="false" ht="15.75" hidden="false" customHeight="true" outlineLevel="0" collapsed="false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2"/>
      <c r="S663" s="3"/>
      <c r="T663" s="3"/>
      <c r="U663" s="3"/>
      <c r="V663" s="3"/>
      <c r="W663" s="3"/>
      <c r="X663" s="3"/>
      <c r="Y663" s="3"/>
      <c r="Z663" s="3"/>
    </row>
    <row r="664" customFormat="false" ht="15.75" hidden="false" customHeight="true" outlineLevel="0" collapsed="false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2"/>
      <c r="S664" s="3"/>
      <c r="T664" s="3"/>
      <c r="U664" s="3"/>
      <c r="V664" s="3"/>
      <c r="W664" s="3"/>
      <c r="X664" s="3"/>
      <c r="Y664" s="3"/>
      <c r="Z664" s="3"/>
    </row>
    <row r="665" customFormat="false" ht="15.75" hidden="false" customHeight="true" outlineLevel="0" collapsed="false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2"/>
      <c r="S665" s="3"/>
      <c r="T665" s="3"/>
      <c r="U665" s="3"/>
      <c r="V665" s="3"/>
      <c r="W665" s="3"/>
      <c r="X665" s="3"/>
      <c r="Y665" s="3"/>
      <c r="Z665" s="3"/>
    </row>
    <row r="666" customFormat="false" ht="15.75" hidden="false" customHeight="true" outlineLevel="0" collapsed="false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2"/>
      <c r="S666" s="3"/>
      <c r="T666" s="3"/>
      <c r="U666" s="3"/>
      <c r="V666" s="3"/>
      <c r="W666" s="3"/>
      <c r="X666" s="3"/>
      <c r="Y666" s="3"/>
      <c r="Z666" s="3"/>
    </row>
    <row r="667" customFormat="false" ht="15.75" hidden="false" customHeight="true" outlineLevel="0" collapsed="false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2"/>
      <c r="S667" s="3"/>
      <c r="T667" s="3"/>
      <c r="U667" s="3"/>
      <c r="V667" s="3"/>
      <c r="W667" s="3"/>
      <c r="X667" s="3"/>
      <c r="Y667" s="3"/>
      <c r="Z667" s="3"/>
    </row>
    <row r="668" customFormat="false" ht="15.75" hidden="false" customHeight="true" outlineLevel="0" collapsed="false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2"/>
      <c r="S668" s="3"/>
      <c r="T668" s="3"/>
      <c r="U668" s="3"/>
      <c r="V668" s="3"/>
      <c r="W668" s="3"/>
      <c r="X668" s="3"/>
      <c r="Y668" s="3"/>
      <c r="Z668" s="3"/>
    </row>
    <row r="669" customFormat="false" ht="15.75" hidden="false" customHeight="true" outlineLevel="0" collapsed="false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2"/>
      <c r="S669" s="3"/>
      <c r="T669" s="3"/>
      <c r="U669" s="3"/>
      <c r="V669" s="3"/>
      <c r="W669" s="3"/>
      <c r="X669" s="3"/>
      <c r="Y669" s="3"/>
      <c r="Z669" s="3"/>
    </row>
    <row r="670" customFormat="false" ht="15.75" hidden="false" customHeight="true" outlineLevel="0" collapsed="false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2"/>
      <c r="S670" s="3"/>
      <c r="T670" s="3"/>
      <c r="U670" s="3"/>
      <c r="V670" s="3"/>
      <c r="W670" s="3"/>
      <c r="X670" s="3"/>
      <c r="Y670" s="3"/>
      <c r="Z670" s="3"/>
    </row>
    <row r="671" customFormat="false" ht="15.75" hidden="false" customHeight="true" outlineLevel="0" collapsed="false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2"/>
      <c r="S671" s="3"/>
      <c r="T671" s="3"/>
      <c r="U671" s="3"/>
      <c r="V671" s="3"/>
      <c r="W671" s="3"/>
      <c r="X671" s="3"/>
      <c r="Y671" s="3"/>
      <c r="Z671" s="3"/>
    </row>
    <row r="672" customFormat="false" ht="15.75" hidden="false" customHeight="true" outlineLevel="0" collapsed="false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2"/>
      <c r="S672" s="3"/>
      <c r="T672" s="3"/>
      <c r="U672" s="3"/>
      <c r="V672" s="3"/>
      <c r="W672" s="3"/>
      <c r="X672" s="3"/>
      <c r="Y672" s="3"/>
      <c r="Z672" s="3"/>
    </row>
    <row r="673" customFormat="false" ht="15.75" hidden="false" customHeight="true" outlineLevel="0" collapsed="false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2"/>
      <c r="S673" s="3"/>
      <c r="T673" s="3"/>
      <c r="U673" s="3"/>
      <c r="V673" s="3"/>
      <c r="W673" s="3"/>
      <c r="X673" s="3"/>
      <c r="Y673" s="3"/>
      <c r="Z673" s="3"/>
    </row>
    <row r="674" customFormat="false" ht="15.75" hidden="false" customHeight="true" outlineLevel="0" collapsed="false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2"/>
      <c r="S674" s="3"/>
      <c r="T674" s="3"/>
      <c r="U674" s="3"/>
      <c r="V674" s="3"/>
      <c r="W674" s="3"/>
      <c r="X674" s="3"/>
      <c r="Y674" s="3"/>
      <c r="Z674" s="3"/>
    </row>
    <row r="675" customFormat="false" ht="15.75" hidden="false" customHeight="true" outlineLevel="0" collapsed="false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2"/>
      <c r="S675" s="3"/>
      <c r="T675" s="3"/>
      <c r="U675" s="3"/>
      <c r="V675" s="3"/>
      <c r="W675" s="3"/>
      <c r="X675" s="3"/>
      <c r="Y675" s="3"/>
      <c r="Z675" s="3"/>
    </row>
    <row r="676" customFormat="false" ht="15.75" hidden="false" customHeight="true" outlineLevel="0" collapsed="false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2"/>
      <c r="S676" s="3"/>
      <c r="T676" s="3"/>
      <c r="U676" s="3"/>
      <c r="V676" s="3"/>
      <c r="W676" s="3"/>
      <c r="X676" s="3"/>
      <c r="Y676" s="3"/>
      <c r="Z676" s="3"/>
    </row>
    <row r="677" customFormat="false" ht="15.75" hidden="false" customHeight="true" outlineLevel="0" collapsed="false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2"/>
      <c r="S677" s="3"/>
      <c r="T677" s="3"/>
      <c r="U677" s="3"/>
      <c r="V677" s="3"/>
      <c r="W677" s="3"/>
      <c r="X677" s="3"/>
      <c r="Y677" s="3"/>
      <c r="Z677" s="3"/>
    </row>
    <row r="678" customFormat="false" ht="15.75" hidden="false" customHeight="true" outlineLevel="0" collapsed="false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2"/>
      <c r="S678" s="3"/>
      <c r="T678" s="3"/>
      <c r="U678" s="3"/>
      <c r="V678" s="3"/>
      <c r="W678" s="3"/>
      <c r="X678" s="3"/>
      <c r="Y678" s="3"/>
      <c r="Z678" s="3"/>
    </row>
    <row r="679" customFormat="false" ht="15.75" hidden="false" customHeight="true" outlineLevel="0" collapsed="false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2"/>
      <c r="S679" s="3"/>
      <c r="T679" s="3"/>
      <c r="U679" s="3"/>
      <c r="V679" s="3"/>
      <c r="W679" s="3"/>
      <c r="X679" s="3"/>
      <c r="Y679" s="3"/>
      <c r="Z679" s="3"/>
    </row>
    <row r="680" customFormat="false" ht="15.75" hidden="false" customHeight="true" outlineLevel="0" collapsed="false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2"/>
      <c r="S680" s="3"/>
      <c r="T680" s="3"/>
      <c r="U680" s="3"/>
      <c r="V680" s="3"/>
      <c r="W680" s="3"/>
      <c r="X680" s="3"/>
      <c r="Y680" s="3"/>
      <c r="Z680" s="3"/>
    </row>
    <row r="681" customFormat="false" ht="15.75" hidden="false" customHeight="true" outlineLevel="0" collapsed="false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2"/>
      <c r="S681" s="3"/>
      <c r="T681" s="3"/>
      <c r="U681" s="3"/>
      <c r="V681" s="3"/>
      <c r="W681" s="3"/>
      <c r="X681" s="3"/>
      <c r="Y681" s="3"/>
      <c r="Z681" s="3"/>
    </row>
    <row r="682" customFormat="false" ht="15.75" hidden="false" customHeight="true" outlineLevel="0" collapsed="false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2"/>
      <c r="S682" s="3"/>
      <c r="T682" s="3"/>
      <c r="U682" s="3"/>
      <c r="V682" s="3"/>
      <c r="W682" s="3"/>
      <c r="X682" s="3"/>
      <c r="Y682" s="3"/>
      <c r="Z682" s="3"/>
    </row>
    <row r="683" customFormat="false" ht="15.75" hidden="false" customHeight="true" outlineLevel="0" collapsed="false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2"/>
      <c r="S683" s="3"/>
      <c r="T683" s="3"/>
      <c r="U683" s="3"/>
      <c r="V683" s="3"/>
      <c r="W683" s="3"/>
      <c r="X683" s="3"/>
      <c r="Y683" s="3"/>
      <c r="Z683" s="3"/>
    </row>
    <row r="684" customFormat="false" ht="15.75" hidden="false" customHeight="true" outlineLevel="0" collapsed="false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2"/>
      <c r="S684" s="3"/>
      <c r="T684" s="3"/>
      <c r="U684" s="3"/>
      <c r="V684" s="3"/>
      <c r="W684" s="3"/>
      <c r="X684" s="3"/>
      <c r="Y684" s="3"/>
      <c r="Z684" s="3"/>
    </row>
    <row r="685" customFormat="false" ht="15.75" hidden="false" customHeight="true" outlineLevel="0" collapsed="false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2"/>
      <c r="S685" s="3"/>
      <c r="T685" s="3"/>
      <c r="U685" s="3"/>
      <c r="V685" s="3"/>
      <c r="W685" s="3"/>
      <c r="X685" s="3"/>
      <c r="Y685" s="3"/>
      <c r="Z685" s="3"/>
    </row>
    <row r="686" customFormat="false" ht="15.75" hidden="false" customHeight="true" outlineLevel="0" collapsed="false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2"/>
      <c r="S686" s="3"/>
      <c r="T686" s="3"/>
      <c r="U686" s="3"/>
      <c r="V686" s="3"/>
      <c r="W686" s="3"/>
      <c r="X686" s="3"/>
      <c r="Y686" s="3"/>
      <c r="Z686" s="3"/>
    </row>
    <row r="687" customFormat="false" ht="15.75" hidden="false" customHeight="true" outlineLevel="0" collapsed="false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2"/>
      <c r="S687" s="3"/>
      <c r="T687" s="3"/>
      <c r="U687" s="3"/>
      <c r="V687" s="3"/>
      <c r="W687" s="3"/>
      <c r="X687" s="3"/>
      <c r="Y687" s="3"/>
      <c r="Z687" s="3"/>
    </row>
    <row r="688" customFormat="false" ht="15.75" hidden="false" customHeight="true" outlineLevel="0" collapsed="false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2"/>
      <c r="S688" s="3"/>
      <c r="T688" s="3"/>
      <c r="U688" s="3"/>
      <c r="V688" s="3"/>
      <c r="W688" s="3"/>
      <c r="X688" s="3"/>
      <c r="Y688" s="3"/>
      <c r="Z688" s="3"/>
    </row>
    <row r="689" customFormat="false" ht="15.75" hidden="false" customHeight="true" outlineLevel="0" collapsed="false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2"/>
      <c r="S689" s="3"/>
      <c r="T689" s="3"/>
      <c r="U689" s="3"/>
      <c r="V689" s="3"/>
      <c r="W689" s="3"/>
      <c r="X689" s="3"/>
      <c r="Y689" s="3"/>
      <c r="Z689" s="3"/>
    </row>
    <row r="690" customFormat="false" ht="15.75" hidden="false" customHeight="true" outlineLevel="0" collapsed="false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2"/>
      <c r="S690" s="3"/>
      <c r="T690" s="3"/>
      <c r="U690" s="3"/>
      <c r="V690" s="3"/>
      <c r="W690" s="3"/>
      <c r="X690" s="3"/>
      <c r="Y690" s="3"/>
      <c r="Z690" s="3"/>
    </row>
    <row r="691" customFormat="false" ht="15.75" hidden="false" customHeight="true" outlineLevel="0" collapsed="false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2"/>
      <c r="S691" s="3"/>
      <c r="T691" s="3"/>
      <c r="U691" s="3"/>
      <c r="V691" s="3"/>
      <c r="W691" s="3"/>
      <c r="X691" s="3"/>
      <c r="Y691" s="3"/>
      <c r="Z691" s="3"/>
    </row>
    <row r="692" customFormat="false" ht="15.75" hidden="false" customHeight="true" outlineLevel="0" collapsed="false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2"/>
      <c r="S692" s="3"/>
      <c r="T692" s="3"/>
      <c r="U692" s="3"/>
      <c r="V692" s="3"/>
      <c r="W692" s="3"/>
      <c r="X692" s="3"/>
      <c r="Y692" s="3"/>
      <c r="Z692" s="3"/>
    </row>
    <row r="693" customFormat="false" ht="15.75" hidden="false" customHeight="true" outlineLevel="0" collapsed="false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2"/>
      <c r="S693" s="3"/>
      <c r="T693" s="3"/>
      <c r="U693" s="3"/>
      <c r="V693" s="3"/>
      <c r="W693" s="3"/>
      <c r="X693" s="3"/>
      <c r="Y693" s="3"/>
      <c r="Z693" s="3"/>
    </row>
    <row r="694" customFormat="false" ht="15.75" hidden="false" customHeight="true" outlineLevel="0" collapsed="false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2"/>
      <c r="S694" s="3"/>
      <c r="T694" s="3"/>
      <c r="U694" s="3"/>
      <c r="V694" s="3"/>
      <c r="W694" s="3"/>
      <c r="X694" s="3"/>
      <c r="Y694" s="3"/>
      <c r="Z694" s="3"/>
    </row>
    <row r="695" customFormat="false" ht="15.75" hidden="false" customHeight="true" outlineLevel="0" collapsed="false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2"/>
      <c r="S695" s="3"/>
      <c r="T695" s="3"/>
      <c r="U695" s="3"/>
      <c r="V695" s="3"/>
      <c r="W695" s="3"/>
      <c r="X695" s="3"/>
      <c r="Y695" s="3"/>
      <c r="Z695" s="3"/>
    </row>
    <row r="696" customFormat="false" ht="15.75" hidden="false" customHeight="true" outlineLevel="0" collapsed="false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2"/>
      <c r="S696" s="3"/>
      <c r="T696" s="3"/>
      <c r="U696" s="3"/>
      <c r="V696" s="3"/>
      <c r="W696" s="3"/>
      <c r="X696" s="3"/>
      <c r="Y696" s="3"/>
      <c r="Z696" s="3"/>
    </row>
    <row r="697" customFormat="false" ht="15.75" hidden="false" customHeight="true" outlineLevel="0" collapsed="false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2"/>
      <c r="S697" s="3"/>
      <c r="T697" s="3"/>
      <c r="U697" s="3"/>
      <c r="V697" s="3"/>
      <c r="W697" s="3"/>
      <c r="X697" s="3"/>
      <c r="Y697" s="3"/>
      <c r="Z697" s="3"/>
    </row>
    <row r="698" customFormat="false" ht="15.75" hidden="false" customHeight="true" outlineLevel="0" collapsed="false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2"/>
      <c r="S698" s="3"/>
      <c r="T698" s="3"/>
      <c r="U698" s="3"/>
      <c r="V698" s="3"/>
      <c r="W698" s="3"/>
      <c r="X698" s="3"/>
      <c r="Y698" s="3"/>
      <c r="Z698" s="3"/>
    </row>
    <row r="699" customFormat="false" ht="15.75" hidden="false" customHeight="true" outlineLevel="0" collapsed="false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2"/>
      <c r="S699" s="3"/>
      <c r="T699" s="3"/>
      <c r="U699" s="3"/>
      <c r="V699" s="3"/>
      <c r="W699" s="3"/>
      <c r="X699" s="3"/>
      <c r="Y699" s="3"/>
      <c r="Z699" s="3"/>
    </row>
    <row r="700" customFormat="false" ht="15.75" hidden="false" customHeight="true" outlineLevel="0" collapsed="false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2"/>
      <c r="S700" s="3"/>
      <c r="T700" s="3"/>
      <c r="U700" s="3"/>
      <c r="V700" s="3"/>
      <c r="W700" s="3"/>
      <c r="X700" s="3"/>
      <c r="Y700" s="3"/>
      <c r="Z700" s="3"/>
    </row>
    <row r="701" customFormat="false" ht="15.75" hidden="false" customHeight="true" outlineLevel="0" collapsed="false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2"/>
      <c r="S701" s="3"/>
      <c r="T701" s="3"/>
      <c r="U701" s="3"/>
      <c r="V701" s="3"/>
      <c r="W701" s="3"/>
      <c r="X701" s="3"/>
      <c r="Y701" s="3"/>
      <c r="Z701" s="3"/>
    </row>
    <row r="702" customFormat="false" ht="15.75" hidden="false" customHeight="true" outlineLevel="0" collapsed="false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2"/>
      <c r="S702" s="3"/>
      <c r="T702" s="3"/>
      <c r="U702" s="3"/>
      <c r="V702" s="3"/>
      <c r="W702" s="3"/>
      <c r="X702" s="3"/>
      <c r="Y702" s="3"/>
      <c r="Z702" s="3"/>
    </row>
    <row r="703" customFormat="false" ht="15.75" hidden="false" customHeight="true" outlineLevel="0" collapsed="false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2"/>
      <c r="S703" s="3"/>
      <c r="T703" s="3"/>
      <c r="U703" s="3"/>
      <c r="V703" s="3"/>
      <c r="W703" s="3"/>
      <c r="X703" s="3"/>
      <c r="Y703" s="3"/>
      <c r="Z703" s="3"/>
    </row>
    <row r="704" customFormat="false" ht="15.75" hidden="false" customHeight="true" outlineLevel="0" collapsed="false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2"/>
      <c r="S704" s="3"/>
      <c r="T704" s="3"/>
      <c r="U704" s="3"/>
      <c r="V704" s="3"/>
      <c r="W704" s="3"/>
      <c r="X704" s="3"/>
      <c r="Y704" s="3"/>
      <c r="Z704" s="3"/>
    </row>
    <row r="705" customFormat="false" ht="15.75" hidden="false" customHeight="true" outlineLevel="0" collapsed="false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2"/>
      <c r="S705" s="3"/>
      <c r="T705" s="3"/>
      <c r="U705" s="3"/>
      <c r="V705" s="3"/>
      <c r="W705" s="3"/>
      <c r="X705" s="3"/>
      <c r="Y705" s="3"/>
      <c r="Z705" s="3"/>
    </row>
    <row r="706" customFormat="false" ht="15.75" hidden="false" customHeight="true" outlineLevel="0" collapsed="false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2"/>
      <c r="S706" s="3"/>
      <c r="T706" s="3"/>
      <c r="U706" s="3"/>
      <c r="V706" s="3"/>
      <c r="W706" s="3"/>
      <c r="X706" s="3"/>
      <c r="Y706" s="3"/>
      <c r="Z706" s="3"/>
    </row>
    <row r="707" customFormat="false" ht="15.75" hidden="false" customHeight="true" outlineLevel="0" collapsed="false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2"/>
      <c r="S707" s="3"/>
      <c r="T707" s="3"/>
      <c r="U707" s="3"/>
      <c r="V707" s="3"/>
      <c r="W707" s="3"/>
      <c r="X707" s="3"/>
      <c r="Y707" s="3"/>
      <c r="Z707" s="3"/>
    </row>
    <row r="708" customFormat="false" ht="15.75" hidden="false" customHeight="true" outlineLevel="0" collapsed="false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2"/>
      <c r="S708" s="3"/>
      <c r="T708" s="3"/>
      <c r="U708" s="3"/>
      <c r="V708" s="3"/>
      <c r="W708" s="3"/>
      <c r="X708" s="3"/>
      <c r="Y708" s="3"/>
      <c r="Z708" s="3"/>
    </row>
    <row r="709" customFormat="false" ht="15.75" hidden="false" customHeight="true" outlineLevel="0" collapsed="false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2"/>
      <c r="S709" s="3"/>
      <c r="T709" s="3"/>
      <c r="U709" s="3"/>
      <c r="V709" s="3"/>
      <c r="W709" s="3"/>
      <c r="X709" s="3"/>
      <c r="Y709" s="3"/>
      <c r="Z709" s="3"/>
    </row>
    <row r="710" customFormat="false" ht="15.75" hidden="false" customHeight="true" outlineLevel="0" collapsed="false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2"/>
      <c r="S710" s="3"/>
      <c r="T710" s="3"/>
      <c r="U710" s="3"/>
      <c r="V710" s="3"/>
      <c r="W710" s="3"/>
      <c r="X710" s="3"/>
      <c r="Y710" s="3"/>
      <c r="Z710" s="3"/>
    </row>
    <row r="711" customFormat="false" ht="15.75" hidden="false" customHeight="true" outlineLevel="0" collapsed="false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2"/>
      <c r="S711" s="3"/>
      <c r="T711" s="3"/>
      <c r="U711" s="3"/>
      <c r="V711" s="3"/>
      <c r="W711" s="3"/>
      <c r="X711" s="3"/>
      <c r="Y711" s="3"/>
      <c r="Z711" s="3"/>
    </row>
    <row r="712" customFormat="false" ht="15.75" hidden="false" customHeight="true" outlineLevel="0" collapsed="false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2"/>
      <c r="S712" s="3"/>
      <c r="T712" s="3"/>
      <c r="U712" s="3"/>
      <c r="V712" s="3"/>
      <c r="W712" s="3"/>
      <c r="X712" s="3"/>
      <c r="Y712" s="3"/>
      <c r="Z712" s="3"/>
    </row>
    <row r="713" customFormat="false" ht="15.75" hidden="false" customHeight="true" outlineLevel="0" collapsed="false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2"/>
      <c r="S713" s="3"/>
      <c r="T713" s="3"/>
      <c r="U713" s="3"/>
      <c r="V713" s="3"/>
      <c r="W713" s="3"/>
      <c r="X713" s="3"/>
      <c r="Y713" s="3"/>
      <c r="Z713" s="3"/>
    </row>
    <row r="714" customFormat="false" ht="15.75" hidden="false" customHeight="true" outlineLevel="0" collapsed="false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2"/>
      <c r="S714" s="3"/>
      <c r="T714" s="3"/>
      <c r="U714" s="3"/>
      <c r="V714" s="3"/>
      <c r="W714" s="3"/>
      <c r="X714" s="3"/>
      <c r="Y714" s="3"/>
      <c r="Z714" s="3"/>
    </row>
    <row r="715" customFormat="false" ht="15.75" hidden="false" customHeight="true" outlineLevel="0" collapsed="false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2"/>
      <c r="S715" s="3"/>
      <c r="T715" s="3"/>
      <c r="U715" s="3"/>
      <c r="V715" s="3"/>
      <c r="W715" s="3"/>
      <c r="X715" s="3"/>
      <c r="Y715" s="3"/>
      <c r="Z715" s="3"/>
    </row>
    <row r="716" customFormat="false" ht="15.75" hidden="false" customHeight="true" outlineLevel="0" collapsed="false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2"/>
      <c r="S716" s="3"/>
      <c r="T716" s="3"/>
      <c r="U716" s="3"/>
      <c r="V716" s="3"/>
      <c r="W716" s="3"/>
      <c r="X716" s="3"/>
      <c r="Y716" s="3"/>
      <c r="Z716" s="3"/>
    </row>
    <row r="717" customFormat="false" ht="15.75" hidden="false" customHeight="true" outlineLevel="0" collapsed="false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2"/>
      <c r="S717" s="3"/>
      <c r="T717" s="3"/>
      <c r="U717" s="3"/>
      <c r="V717" s="3"/>
      <c r="W717" s="3"/>
      <c r="X717" s="3"/>
      <c r="Y717" s="3"/>
      <c r="Z717" s="3"/>
    </row>
    <row r="718" customFormat="false" ht="15.75" hidden="false" customHeight="true" outlineLevel="0" collapsed="false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2"/>
      <c r="S718" s="3"/>
      <c r="T718" s="3"/>
      <c r="U718" s="3"/>
      <c r="V718" s="3"/>
      <c r="W718" s="3"/>
      <c r="X718" s="3"/>
      <c r="Y718" s="3"/>
      <c r="Z718" s="3"/>
    </row>
    <row r="719" customFormat="false" ht="15.75" hidden="false" customHeight="true" outlineLevel="0" collapsed="false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2"/>
      <c r="S719" s="3"/>
      <c r="T719" s="3"/>
      <c r="U719" s="3"/>
      <c r="V719" s="3"/>
      <c r="W719" s="3"/>
      <c r="X719" s="3"/>
      <c r="Y719" s="3"/>
      <c r="Z719" s="3"/>
    </row>
    <row r="720" customFormat="false" ht="15.75" hidden="false" customHeight="true" outlineLevel="0" collapsed="false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2"/>
      <c r="S720" s="3"/>
      <c r="T720" s="3"/>
      <c r="U720" s="3"/>
      <c r="V720" s="3"/>
      <c r="W720" s="3"/>
      <c r="X720" s="3"/>
      <c r="Y720" s="3"/>
      <c r="Z720" s="3"/>
    </row>
    <row r="721" customFormat="false" ht="15.75" hidden="false" customHeight="true" outlineLevel="0" collapsed="false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2"/>
      <c r="S721" s="3"/>
      <c r="T721" s="3"/>
      <c r="U721" s="3"/>
      <c r="V721" s="3"/>
      <c r="W721" s="3"/>
      <c r="X721" s="3"/>
      <c r="Y721" s="3"/>
      <c r="Z721" s="3"/>
    </row>
    <row r="722" customFormat="false" ht="15.75" hidden="false" customHeight="true" outlineLevel="0" collapsed="false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2"/>
      <c r="S722" s="3"/>
      <c r="T722" s="3"/>
      <c r="U722" s="3"/>
      <c r="V722" s="3"/>
      <c r="W722" s="3"/>
      <c r="X722" s="3"/>
      <c r="Y722" s="3"/>
      <c r="Z722" s="3"/>
    </row>
    <row r="723" customFormat="false" ht="15.75" hidden="false" customHeight="true" outlineLevel="0" collapsed="false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2"/>
      <c r="S723" s="3"/>
      <c r="T723" s="3"/>
      <c r="U723" s="3"/>
      <c r="V723" s="3"/>
      <c r="W723" s="3"/>
      <c r="X723" s="3"/>
      <c r="Y723" s="3"/>
      <c r="Z723" s="3"/>
    </row>
    <row r="724" customFormat="false" ht="15.75" hidden="false" customHeight="true" outlineLevel="0" collapsed="false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2"/>
      <c r="S724" s="3"/>
      <c r="T724" s="3"/>
      <c r="U724" s="3"/>
      <c r="V724" s="3"/>
      <c r="W724" s="3"/>
      <c r="X724" s="3"/>
      <c r="Y724" s="3"/>
      <c r="Z724" s="3"/>
    </row>
    <row r="725" customFormat="false" ht="15.75" hidden="false" customHeight="true" outlineLevel="0" collapsed="false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2"/>
      <c r="S725" s="3"/>
      <c r="T725" s="3"/>
      <c r="U725" s="3"/>
      <c r="V725" s="3"/>
      <c r="W725" s="3"/>
      <c r="X725" s="3"/>
      <c r="Y725" s="3"/>
      <c r="Z725" s="3"/>
    </row>
    <row r="726" customFormat="false" ht="15.75" hidden="false" customHeight="true" outlineLevel="0" collapsed="false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2"/>
      <c r="S726" s="3"/>
      <c r="T726" s="3"/>
      <c r="U726" s="3"/>
      <c r="V726" s="3"/>
      <c r="W726" s="3"/>
      <c r="X726" s="3"/>
      <c r="Y726" s="3"/>
      <c r="Z726" s="3"/>
    </row>
    <row r="727" customFormat="false" ht="15.75" hidden="false" customHeight="true" outlineLevel="0" collapsed="false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2"/>
      <c r="S727" s="3"/>
      <c r="T727" s="3"/>
      <c r="U727" s="3"/>
      <c r="V727" s="3"/>
      <c r="W727" s="3"/>
      <c r="X727" s="3"/>
      <c r="Y727" s="3"/>
      <c r="Z727" s="3"/>
    </row>
    <row r="728" customFormat="false" ht="15.75" hidden="false" customHeight="true" outlineLevel="0" collapsed="false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2"/>
      <c r="S728" s="3"/>
      <c r="T728" s="3"/>
      <c r="U728" s="3"/>
      <c r="V728" s="3"/>
      <c r="W728" s="3"/>
      <c r="X728" s="3"/>
      <c r="Y728" s="3"/>
      <c r="Z728" s="3"/>
    </row>
    <row r="729" customFormat="false" ht="15.75" hidden="false" customHeight="true" outlineLevel="0" collapsed="false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2"/>
      <c r="S729" s="3"/>
      <c r="T729" s="3"/>
      <c r="U729" s="3"/>
      <c r="V729" s="3"/>
      <c r="W729" s="3"/>
      <c r="X729" s="3"/>
      <c r="Y729" s="3"/>
      <c r="Z729" s="3"/>
    </row>
    <row r="730" customFormat="false" ht="15.75" hidden="false" customHeight="true" outlineLevel="0" collapsed="false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2"/>
      <c r="S730" s="3"/>
      <c r="T730" s="3"/>
      <c r="U730" s="3"/>
      <c r="V730" s="3"/>
      <c r="W730" s="3"/>
      <c r="X730" s="3"/>
      <c r="Y730" s="3"/>
      <c r="Z730" s="3"/>
    </row>
    <row r="731" customFormat="false" ht="15.75" hidden="false" customHeight="true" outlineLevel="0" collapsed="false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2"/>
      <c r="S731" s="3"/>
      <c r="T731" s="3"/>
      <c r="U731" s="3"/>
      <c r="V731" s="3"/>
      <c r="W731" s="3"/>
      <c r="X731" s="3"/>
      <c r="Y731" s="3"/>
      <c r="Z731" s="3"/>
    </row>
    <row r="732" customFormat="false" ht="15.75" hidden="false" customHeight="true" outlineLevel="0" collapsed="false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2"/>
      <c r="S732" s="3"/>
      <c r="T732" s="3"/>
      <c r="U732" s="3"/>
      <c r="V732" s="3"/>
      <c r="W732" s="3"/>
      <c r="X732" s="3"/>
      <c r="Y732" s="3"/>
      <c r="Z732" s="3"/>
    </row>
    <row r="733" customFormat="false" ht="15.75" hidden="false" customHeight="true" outlineLevel="0" collapsed="false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2"/>
      <c r="S733" s="3"/>
      <c r="T733" s="3"/>
      <c r="U733" s="3"/>
      <c r="V733" s="3"/>
      <c r="W733" s="3"/>
      <c r="X733" s="3"/>
      <c r="Y733" s="3"/>
      <c r="Z733" s="3"/>
    </row>
    <row r="734" customFormat="false" ht="15.75" hidden="false" customHeight="true" outlineLevel="0" collapsed="false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2"/>
      <c r="S734" s="3"/>
      <c r="T734" s="3"/>
      <c r="U734" s="3"/>
      <c r="V734" s="3"/>
      <c r="W734" s="3"/>
      <c r="X734" s="3"/>
      <c r="Y734" s="3"/>
      <c r="Z734" s="3"/>
    </row>
    <row r="735" customFormat="false" ht="15.75" hidden="false" customHeight="true" outlineLevel="0" collapsed="false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2"/>
      <c r="S735" s="3"/>
      <c r="T735" s="3"/>
      <c r="U735" s="3"/>
      <c r="V735" s="3"/>
      <c r="W735" s="3"/>
      <c r="X735" s="3"/>
      <c r="Y735" s="3"/>
      <c r="Z735" s="3"/>
    </row>
    <row r="736" customFormat="false" ht="15.75" hidden="false" customHeight="true" outlineLevel="0" collapsed="false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2"/>
      <c r="S736" s="3"/>
      <c r="T736" s="3"/>
      <c r="U736" s="3"/>
      <c r="V736" s="3"/>
      <c r="W736" s="3"/>
      <c r="X736" s="3"/>
      <c r="Y736" s="3"/>
      <c r="Z736" s="3"/>
    </row>
    <row r="737" customFormat="false" ht="15.75" hidden="false" customHeight="true" outlineLevel="0" collapsed="false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2"/>
      <c r="S737" s="3"/>
      <c r="T737" s="3"/>
      <c r="U737" s="3"/>
      <c r="V737" s="3"/>
      <c r="W737" s="3"/>
      <c r="X737" s="3"/>
      <c r="Y737" s="3"/>
      <c r="Z737" s="3"/>
    </row>
    <row r="738" customFormat="false" ht="15.75" hidden="false" customHeight="true" outlineLevel="0" collapsed="false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2"/>
      <c r="S738" s="3"/>
      <c r="T738" s="3"/>
      <c r="U738" s="3"/>
      <c r="V738" s="3"/>
      <c r="W738" s="3"/>
      <c r="X738" s="3"/>
      <c r="Y738" s="3"/>
      <c r="Z738" s="3"/>
    </row>
    <row r="739" customFormat="false" ht="15.75" hidden="false" customHeight="true" outlineLevel="0" collapsed="false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2"/>
      <c r="S739" s="3"/>
      <c r="T739" s="3"/>
      <c r="U739" s="3"/>
      <c r="V739" s="3"/>
      <c r="W739" s="3"/>
      <c r="X739" s="3"/>
      <c r="Y739" s="3"/>
      <c r="Z739" s="3"/>
    </row>
    <row r="740" customFormat="false" ht="15.75" hidden="false" customHeight="true" outlineLevel="0" collapsed="false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2"/>
      <c r="S740" s="3"/>
      <c r="T740" s="3"/>
      <c r="U740" s="3"/>
      <c r="V740" s="3"/>
      <c r="W740" s="3"/>
      <c r="X740" s="3"/>
      <c r="Y740" s="3"/>
      <c r="Z740" s="3"/>
    </row>
    <row r="741" customFormat="false" ht="15.75" hidden="false" customHeight="true" outlineLevel="0" collapsed="false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2"/>
      <c r="S741" s="3"/>
      <c r="T741" s="3"/>
      <c r="U741" s="3"/>
      <c r="V741" s="3"/>
      <c r="W741" s="3"/>
      <c r="X741" s="3"/>
      <c r="Y741" s="3"/>
      <c r="Z741" s="3"/>
    </row>
    <row r="742" customFormat="false" ht="15.75" hidden="false" customHeight="true" outlineLevel="0" collapsed="false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2"/>
      <c r="S742" s="3"/>
      <c r="T742" s="3"/>
      <c r="U742" s="3"/>
      <c r="V742" s="3"/>
      <c r="W742" s="3"/>
      <c r="X742" s="3"/>
      <c r="Y742" s="3"/>
      <c r="Z742" s="3"/>
    </row>
    <row r="743" customFormat="false" ht="15.75" hidden="false" customHeight="true" outlineLevel="0" collapsed="false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2"/>
      <c r="S743" s="3"/>
      <c r="T743" s="3"/>
      <c r="U743" s="3"/>
      <c r="V743" s="3"/>
      <c r="W743" s="3"/>
      <c r="X743" s="3"/>
      <c r="Y743" s="3"/>
      <c r="Z743" s="3"/>
    </row>
    <row r="744" customFormat="false" ht="15.75" hidden="false" customHeight="true" outlineLevel="0" collapsed="false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2"/>
      <c r="S744" s="3"/>
      <c r="T744" s="3"/>
      <c r="U744" s="3"/>
      <c r="V744" s="3"/>
      <c r="W744" s="3"/>
      <c r="X744" s="3"/>
      <c r="Y744" s="3"/>
      <c r="Z744" s="3"/>
    </row>
    <row r="745" customFormat="false" ht="15.75" hidden="false" customHeight="true" outlineLevel="0" collapsed="false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2"/>
      <c r="S745" s="3"/>
      <c r="T745" s="3"/>
      <c r="U745" s="3"/>
      <c r="V745" s="3"/>
      <c r="W745" s="3"/>
      <c r="X745" s="3"/>
      <c r="Y745" s="3"/>
      <c r="Z745" s="3"/>
    </row>
    <row r="746" customFormat="false" ht="15.75" hidden="false" customHeight="true" outlineLevel="0" collapsed="false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2"/>
      <c r="S746" s="3"/>
      <c r="T746" s="3"/>
      <c r="U746" s="3"/>
      <c r="V746" s="3"/>
      <c r="W746" s="3"/>
      <c r="X746" s="3"/>
      <c r="Y746" s="3"/>
      <c r="Z746" s="3"/>
    </row>
    <row r="747" customFormat="false" ht="15.75" hidden="false" customHeight="true" outlineLevel="0" collapsed="false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2"/>
      <c r="S747" s="3"/>
      <c r="T747" s="3"/>
      <c r="U747" s="3"/>
      <c r="V747" s="3"/>
      <c r="W747" s="3"/>
      <c r="X747" s="3"/>
      <c r="Y747" s="3"/>
      <c r="Z747" s="3"/>
    </row>
    <row r="748" customFormat="false" ht="15.75" hidden="false" customHeight="true" outlineLevel="0" collapsed="false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2"/>
      <c r="S748" s="3"/>
      <c r="T748" s="3"/>
      <c r="U748" s="3"/>
      <c r="V748" s="3"/>
      <c r="W748" s="3"/>
      <c r="X748" s="3"/>
      <c r="Y748" s="3"/>
      <c r="Z748" s="3"/>
    </row>
    <row r="749" customFormat="false" ht="15.75" hidden="false" customHeight="true" outlineLevel="0" collapsed="false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2"/>
      <c r="S749" s="3"/>
      <c r="T749" s="3"/>
      <c r="U749" s="3"/>
      <c r="V749" s="3"/>
      <c r="W749" s="3"/>
      <c r="X749" s="3"/>
      <c r="Y749" s="3"/>
      <c r="Z749" s="3"/>
    </row>
    <row r="750" customFormat="false" ht="15.75" hidden="false" customHeight="true" outlineLevel="0" collapsed="false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2"/>
      <c r="S750" s="3"/>
      <c r="T750" s="3"/>
      <c r="U750" s="3"/>
      <c r="V750" s="3"/>
      <c r="W750" s="3"/>
      <c r="X750" s="3"/>
      <c r="Y750" s="3"/>
      <c r="Z750" s="3"/>
    </row>
    <row r="751" customFormat="false" ht="15.75" hidden="false" customHeight="true" outlineLevel="0" collapsed="false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2"/>
      <c r="S751" s="3"/>
      <c r="T751" s="3"/>
      <c r="U751" s="3"/>
      <c r="V751" s="3"/>
      <c r="W751" s="3"/>
      <c r="X751" s="3"/>
      <c r="Y751" s="3"/>
      <c r="Z751" s="3"/>
    </row>
    <row r="752" customFormat="false" ht="15.75" hidden="false" customHeight="true" outlineLevel="0" collapsed="false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2"/>
      <c r="S752" s="3"/>
      <c r="T752" s="3"/>
      <c r="U752" s="3"/>
      <c r="V752" s="3"/>
      <c r="W752" s="3"/>
      <c r="X752" s="3"/>
      <c r="Y752" s="3"/>
      <c r="Z752" s="3"/>
    </row>
    <row r="753" customFormat="false" ht="15.75" hidden="false" customHeight="true" outlineLevel="0" collapsed="false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2"/>
      <c r="S753" s="3"/>
      <c r="T753" s="3"/>
      <c r="U753" s="3"/>
      <c r="V753" s="3"/>
      <c r="W753" s="3"/>
      <c r="X753" s="3"/>
      <c r="Y753" s="3"/>
      <c r="Z753" s="3"/>
    </row>
    <row r="754" customFormat="false" ht="15.75" hidden="false" customHeight="true" outlineLevel="0" collapsed="false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2"/>
      <c r="S754" s="3"/>
      <c r="T754" s="3"/>
      <c r="U754" s="3"/>
      <c r="V754" s="3"/>
      <c r="W754" s="3"/>
      <c r="X754" s="3"/>
      <c r="Y754" s="3"/>
      <c r="Z754" s="3"/>
    </row>
    <row r="755" customFormat="false" ht="15.75" hidden="false" customHeight="true" outlineLevel="0" collapsed="false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2"/>
      <c r="S755" s="3"/>
      <c r="T755" s="3"/>
      <c r="U755" s="3"/>
      <c r="V755" s="3"/>
      <c r="W755" s="3"/>
      <c r="X755" s="3"/>
      <c r="Y755" s="3"/>
      <c r="Z755" s="3"/>
    </row>
    <row r="756" customFormat="false" ht="15.75" hidden="false" customHeight="true" outlineLevel="0" collapsed="false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2"/>
      <c r="S756" s="3"/>
      <c r="T756" s="3"/>
      <c r="U756" s="3"/>
      <c r="V756" s="3"/>
      <c r="W756" s="3"/>
      <c r="X756" s="3"/>
      <c r="Y756" s="3"/>
      <c r="Z756" s="3"/>
    </row>
    <row r="757" customFormat="false" ht="15.75" hidden="false" customHeight="true" outlineLevel="0" collapsed="false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2"/>
      <c r="S757" s="3"/>
      <c r="T757" s="3"/>
      <c r="U757" s="3"/>
      <c r="V757" s="3"/>
      <c r="W757" s="3"/>
      <c r="X757" s="3"/>
      <c r="Y757" s="3"/>
      <c r="Z757" s="3"/>
    </row>
    <row r="758" customFormat="false" ht="15.75" hidden="false" customHeight="true" outlineLevel="0" collapsed="false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2"/>
      <c r="S758" s="3"/>
      <c r="T758" s="3"/>
      <c r="U758" s="3"/>
      <c r="V758" s="3"/>
      <c r="W758" s="3"/>
      <c r="X758" s="3"/>
      <c r="Y758" s="3"/>
      <c r="Z758" s="3"/>
    </row>
    <row r="759" customFormat="false" ht="15.75" hidden="false" customHeight="true" outlineLevel="0" collapsed="false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2"/>
      <c r="S759" s="3"/>
      <c r="T759" s="3"/>
      <c r="U759" s="3"/>
      <c r="V759" s="3"/>
      <c r="W759" s="3"/>
      <c r="X759" s="3"/>
      <c r="Y759" s="3"/>
      <c r="Z759" s="3"/>
    </row>
    <row r="760" customFormat="false" ht="15.75" hidden="false" customHeight="true" outlineLevel="0" collapsed="false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2"/>
      <c r="S760" s="3"/>
      <c r="T760" s="3"/>
      <c r="U760" s="3"/>
      <c r="V760" s="3"/>
      <c r="W760" s="3"/>
      <c r="X760" s="3"/>
      <c r="Y760" s="3"/>
      <c r="Z760" s="3"/>
    </row>
    <row r="761" customFormat="false" ht="15.75" hidden="false" customHeight="true" outlineLevel="0" collapsed="false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2"/>
      <c r="S761" s="3"/>
      <c r="T761" s="3"/>
      <c r="U761" s="3"/>
      <c r="V761" s="3"/>
      <c r="W761" s="3"/>
      <c r="X761" s="3"/>
      <c r="Y761" s="3"/>
      <c r="Z761" s="3"/>
    </row>
    <row r="762" customFormat="false" ht="15.75" hidden="false" customHeight="true" outlineLevel="0" collapsed="false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2"/>
      <c r="S762" s="3"/>
      <c r="T762" s="3"/>
      <c r="U762" s="3"/>
      <c r="V762" s="3"/>
      <c r="W762" s="3"/>
      <c r="X762" s="3"/>
      <c r="Y762" s="3"/>
      <c r="Z762" s="3"/>
    </row>
    <row r="763" customFormat="false" ht="15.75" hidden="false" customHeight="true" outlineLevel="0" collapsed="false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2"/>
      <c r="S763" s="3"/>
      <c r="T763" s="3"/>
      <c r="U763" s="3"/>
      <c r="V763" s="3"/>
      <c r="W763" s="3"/>
      <c r="X763" s="3"/>
      <c r="Y763" s="3"/>
      <c r="Z763" s="3"/>
    </row>
    <row r="764" customFormat="false" ht="15.75" hidden="false" customHeight="true" outlineLevel="0" collapsed="false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2"/>
      <c r="S764" s="3"/>
      <c r="T764" s="3"/>
      <c r="U764" s="3"/>
      <c r="V764" s="3"/>
      <c r="W764" s="3"/>
      <c r="X764" s="3"/>
      <c r="Y764" s="3"/>
      <c r="Z764" s="3"/>
    </row>
    <row r="765" customFormat="false" ht="15.75" hidden="false" customHeight="true" outlineLevel="0" collapsed="false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2"/>
      <c r="S765" s="3"/>
      <c r="T765" s="3"/>
      <c r="U765" s="3"/>
      <c r="V765" s="3"/>
      <c r="W765" s="3"/>
      <c r="X765" s="3"/>
      <c r="Y765" s="3"/>
      <c r="Z765" s="3"/>
    </row>
    <row r="766" customFormat="false" ht="15.75" hidden="false" customHeight="true" outlineLevel="0" collapsed="false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2"/>
      <c r="S766" s="3"/>
      <c r="T766" s="3"/>
      <c r="U766" s="3"/>
      <c r="V766" s="3"/>
      <c r="W766" s="3"/>
      <c r="X766" s="3"/>
      <c r="Y766" s="3"/>
      <c r="Z766" s="3"/>
    </row>
    <row r="767" customFormat="false" ht="15.75" hidden="false" customHeight="true" outlineLevel="0" collapsed="false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2"/>
      <c r="S767" s="3"/>
      <c r="T767" s="3"/>
      <c r="U767" s="3"/>
      <c r="V767" s="3"/>
      <c r="W767" s="3"/>
      <c r="X767" s="3"/>
      <c r="Y767" s="3"/>
      <c r="Z767" s="3"/>
    </row>
    <row r="768" customFormat="false" ht="15.75" hidden="false" customHeight="true" outlineLevel="0" collapsed="false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2"/>
      <c r="S768" s="3"/>
      <c r="T768" s="3"/>
      <c r="U768" s="3"/>
      <c r="V768" s="3"/>
      <c r="W768" s="3"/>
      <c r="X768" s="3"/>
      <c r="Y768" s="3"/>
      <c r="Z768" s="3"/>
    </row>
    <row r="769" customFormat="false" ht="15.75" hidden="false" customHeight="true" outlineLevel="0" collapsed="false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2"/>
      <c r="S769" s="3"/>
      <c r="T769" s="3"/>
      <c r="U769" s="3"/>
      <c r="V769" s="3"/>
      <c r="W769" s="3"/>
      <c r="X769" s="3"/>
      <c r="Y769" s="3"/>
      <c r="Z769" s="3"/>
    </row>
    <row r="770" customFormat="false" ht="15.75" hidden="false" customHeight="true" outlineLevel="0" collapsed="false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2"/>
      <c r="S770" s="3"/>
      <c r="T770" s="3"/>
      <c r="U770" s="3"/>
      <c r="V770" s="3"/>
      <c r="W770" s="3"/>
      <c r="X770" s="3"/>
      <c r="Y770" s="3"/>
      <c r="Z770" s="3"/>
    </row>
    <row r="771" customFormat="false" ht="15.75" hidden="false" customHeight="true" outlineLevel="0" collapsed="false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2"/>
      <c r="S771" s="3"/>
      <c r="T771" s="3"/>
      <c r="U771" s="3"/>
      <c r="V771" s="3"/>
      <c r="W771" s="3"/>
      <c r="X771" s="3"/>
      <c r="Y771" s="3"/>
      <c r="Z771" s="3"/>
    </row>
    <row r="772" customFormat="false" ht="15.75" hidden="false" customHeight="true" outlineLevel="0" collapsed="false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2"/>
      <c r="S772" s="3"/>
      <c r="T772" s="3"/>
      <c r="U772" s="3"/>
      <c r="V772" s="3"/>
      <c r="W772" s="3"/>
      <c r="X772" s="3"/>
      <c r="Y772" s="3"/>
      <c r="Z772" s="3"/>
    </row>
    <row r="773" customFormat="false" ht="15.75" hidden="false" customHeight="true" outlineLevel="0" collapsed="false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2"/>
      <c r="S773" s="3"/>
      <c r="T773" s="3"/>
      <c r="U773" s="3"/>
      <c r="V773" s="3"/>
      <c r="W773" s="3"/>
      <c r="X773" s="3"/>
      <c r="Y773" s="3"/>
      <c r="Z773" s="3"/>
    </row>
    <row r="774" customFormat="false" ht="15.75" hidden="false" customHeight="true" outlineLevel="0" collapsed="false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2"/>
      <c r="S774" s="3"/>
      <c r="T774" s="3"/>
      <c r="U774" s="3"/>
      <c r="V774" s="3"/>
      <c r="W774" s="3"/>
      <c r="X774" s="3"/>
      <c r="Y774" s="3"/>
      <c r="Z774" s="3"/>
    </row>
    <row r="775" customFormat="false" ht="15.75" hidden="false" customHeight="true" outlineLevel="0" collapsed="false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2"/>
      <c r="S775" s="3"/>
      <c r="T775" s="3"/>
      <c r="U775" s="3"/>
      <c r="V775" s="3"/>
      <c r="W775" s="3"/>
      <c r="X775" s="3"/>
      <c r="Y775" s="3"/>
      <c r="Z775" s="3"/>
    </row>
    <row r="776" customFormat="false" ht="15.75" hidden="false" customHeight="true" outlineLevel="0" collapsed="false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2"/>
      <c r="S776" s="3"/>
      <c r="T776" s="3"/>
      <c r="U776" s="3"/>
      <c r="V776" s="3"/>
      <c r="W776" s="3"/>
      <c r="X776" s="3"/>
      <c r="Y776" s="3"/>
      <c r="Z776" s="3"/>
    </row>
    <row r="777" customFormat="false" ht="15.75" hidden="false" customHeight="true" outlineLevel="0" collapsed="false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2"/>
      <c r="S777" s="3"/>
      <c r="T777" s="3"/>
      <c r="U777" s="3"/>
      <c r="V777" s="3"/>
      <c r="W777" s="3"/>
      <c r="X777" s="3"/>
      <c r="Y777" s="3"/>
      <c r="Z777" s="3"/>
    </row>
    <row r="778" customFormat="false" ht="15.75" hidden="false" customHeight="true" outlineLevel="0" collapsed="false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2"/>
      <c r="S778" s="3"/>
      <c r="T778" s="3"/>
      <c r="U778" s="3"/>
      <c r="V778" s="3"/>
      <c r="W778" s="3"/>
      <c r="X778" s="3"/>
      <c r="Y778" s="3"/>
      <c r="Z778" s="3"/>
    </row>
    <row r="779" customFormat="false" ht="15.75" hidden="false" customHeight="true" outlineLevel="0" collapsed="false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2"/>
      <c r="S779" s="3"/>
      <c r="T779" s="3"/>
      <c r="U779" s="3"/>
      <c r="V779" s="3"/>
      <c r="W779" s="3"/>
      <c r="X779" s="3"/>
      <c r="Y779" s="3"/>
      <c r="Z779" s="3"/>
    </row>
    <row r="780" customFormat="false" ht="15.75" hidden="false" customHeight="true" outlineLevel="0" collapsed="false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2"/>
      <c r="S780" s="3"/>
      <c r="T780" s="3"/>
      <c r="U780" s="3"/>
      <c r="V780" s="3"/>
      <c r="W780" s="3"/>
      <c r="X780" s="3"/>
      <c r="Y780" s="3"/>
      <c r="Z780" s="3"/>
    </row>
    <row r="781" customFormat="false" ht="15.75" hidden="false" customHeight="true" outlineLevel="0" collapsed="false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2"/>
      <c r="S781" s="3"/>
      <c r="T781" s="3"/>
      <c r="U781" s="3"/>
      <c r="V781" s="3"/>
      <c r="W781" s="3"/>
      <c r="X781" s="3"/>
      <c r="Y781" s="3"/>
      <c r="Z781" s="3"/>
    </row>
    <row r="782" customFormat="false" ht="15.75" hidden="false" customHeight="true" outlineLevel="0" collapsed="false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2"/>
      <c r="S782" s="3"/>
      <c r="T782" s="3"/>
      <c r="U782" s="3"/>
      <c r="V782" s="3"/>
      <c r="W782" s="3"/>
      <c r="X782" s="3"/>
      <c r="Y782" s="3"/>
      <c r="Z782" s="3"/>
    </row>
    <row r="783" customFormat="false" ht="15.75" hidden="false" customHeight="true" outlineLevel="0" collapsed="false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2"/>
      <c r="S783" s="3"/>
      <c r="T783" s="3"/>
      <c r="U783" s="3"/>
      <c r="V783" s="3"/>
      <c r="W783" s="3"/>
      <c r="X783" s="3"/>
      <c r="Y783" s="3"/>
      <c r="Z783" s="3"/>
    </row>
    <row r="784" customFormat="false" ht="15.75" hidden="false" customHeight="true" outlineLevel="0" collapsed="false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2"/>
      <c r="S784" s="3"/>
      <c r="T784" s="3"/>
      <c r="U784" s="3"/>
      <c r="V784" s="3"/>
      <c r="W784" s="3"/>
      <c r="X784" s="3"/>
      <c r="Y784" s="3"/>
      <c r="Z784" s="3"/>
    </row>
    <row r="785" customFormat="false" ht="15.75" hidden="false" customHeight="true" outlineLevel="0" collapsed="false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2"/>
      <c r="S785" s="3"/>
      <c r="T785" s="3"/>
      <c r="U785" s="3"/>
      <c r="V785" s="3"/>
      <c r="W785" s="3"/>
      <c r="X785" s="3"/>
      <c r="Y785" s="3"/>
      <c r="Z785" s="3"/>
    </row>
    <row r="786" customFormat="false" ht="15.75" hidden="false" customHeight="true" outlineLevel="0" collapsed="false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2"/>
      <c r="S786" s="3"/>
      <c r="T786" s="3"/>
      <c r="U786" s="3"/>
      <c r="V786" s="3"/>
      <c r="W786" s="3"/>
      <c r="X786" s="3"/>
      <c r="Y786" s="3"/>
      <c r="Z786" s="3"/>
    </row>
    <row r="787" customFormat="false" ht="15.75" hidden="false" customHeight="true" outlineLevel="0" collapsed="false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2"/>
      <c r="S787" s="3"/>
      <c r="T787" s="3"/>
      <c r="U787" s="3"/>
      <c r="V787" s="3"/>
      <c r="W787" s="3"/>
      <c r="X787" s="3"/>
      <c r="Y787" s="3"/>
      <c r="Z787" s="3"/>
    </row>
    <row r="788" customFormat="false" ht="15.75" hidden="false" customHeight="true" outlineLevel="0" collapsed="false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2"/>
      <c r="S788" s="3"/>
      <c r="T788" s="3"/>
      <c r="U788" s="3"/>
      <c r="V788" s="3"/>
      <c r="W788" s="3"/>
      <c r="X788" s="3"/>
      <c r="Y788" s="3"/>
      <c r="Z788" s="3"/>
    </row>
    <row r="789" customFormat="false" ht="15.75" hidden="false" customHeight="true" outlineLevel="0" collapsed="false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2"/>
      <c r="S789" s="3"/>
      <c r="T789" s="3"/>
      <c r="U789" s="3"/>
      <c r="V789" s="3"/>
      <c r="W789" s="3"/>
      <c r="X789" s="3"/>
      <c r="Y789" s="3"/>
      <c r="Z789" s="3"/>
    </row>
    <row r="790" customFormat="false" ht="15.75" hidden="false" customHeight="true" outlineLevel="0" collapsed="false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2"/>
      <c r="S790" s="3"/>
      <c r="T790" s="3"/>
      <c r="U790" s="3"/>
      <c r="V790" s="3"/>
      <c r="W790" s="3"/>
      <c r="X790" s="3"/>
      <c r="Y790" s="3"/>
      <c r="Z790" s="3"/>
    </row>
    <row r="791" customFormat="false" ht="15.75" hidden="false" customHeight="true" outlineLevel="0" collapsed="false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2"/>
      <c r="S791" s="3"/>
      <c r="T791" s="3"/>
      <c r="U791" s="3"/>
      <c r="V791" s="3"/>
      <c r="W791" s="3"/>
      <c r="X791" s="3"/>
      <c r="Y791" s="3"/>
      <c r="Z791" s="3"/>
    </row>
    <row r="792" customFormat="false" ht="15.75" hidden="false" customHeight="true" outlineLevel="0" collapsed="false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2"/>
      <c r="S792" s="3"/>
      <c r="T792" s="3"/>
      <c r="U792" s="3"/>
      <c r="V792" s="3"/>
      <c r="W792" s="3"/>
      <c r="X792" s="3"/>
      <c r="Y792" s="3"/>
      <c r="Z792" s="3"/>
    </row>
    <row r="793" customFormat="false" ht="15.75" hidden="false" customHeight="true" outlineLevel="0" collapsed="false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2"/>
      <c r="S793" s="3"/>
      <c r="T793" s="3"/>
      <c r="U793" s="3"/>
      <c r="V793" s="3"/>
      <c r="W793" s="3"/>
      <c r="X793" s="3"/>
      <c r="Y793" s="3"/>
      <c r="Z793" s="3"/>
    </row>
    <row r="794" customFormat="false" ht="15.75" hidden="false" customHeight="true" outlineLevel="0" collapsed="false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2"/>
      <c r="S794" s="3"/>
      <c r="T794" s="3"/>
      <c r="U794" s="3"/>
      <c r="V794" s="3"/>
      <c r="W794" s="3"/>
      <c r="X794" s="3"/>
      <c r="Y794" s="3"/>
      <c r="Z794" s="3"/>
    </row>
    <row r="795" customFormat="false" ht="15.75" hidden="false" customHeight="true" outlineLevel="0" collapsed="false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2"/>
      <c r="S795" s="3"/>
      <c r="T795" s="3"/>
      <c r="U795" s="3"/>
      <c r="V795" s="3"/>
      <c r="W795" s="3"/>
      <c r="X795" s="3"/>
      <c r="Y795" s="3"/>
      <c r="Z795" s="3"/>
    </row>
    <row r="796" customFormat="false" ht="15.75" hidden="false" customHeight="true" outlineLevel="0" collapsed="false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2"/>
      <c r="S796" s="3"/>
      <c r="T796" s="3"/>
      <c r="U796" s="3"/>
      <c r="V796" s="3"/>
      <c r="W796" s="3"/>
      <c r="X796" s="3"/>
      <c r="Y796" s="3"/>
      <c r="Z796" s="3"/>
    </row>
    <row r="797" customFormat="false" ht="15.75" hidden="false" customHeight="true" outlineLevel="0" collapsed="false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2"/>
      <c r="S797" s="3"/>
      <c r="T797" s="3"/>
      <c r="U797" s="3"/>
      <c r="V797" s="3"/>
      <c r="W797" s="3"/>
      <c r="X797" s="3"/>
      <c r="Y797" s="3"/>
      <c r="Z797" s="3"/>
    </row>
    <row r="798" customFormat="false" ht="15.75" hidden="false" customHeight="true" outlineLevel="0" collapsed="false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2"/>
      <c r="S798" s="3"/>
      <c r="T798" s="3"/>
      <c r="U798" s="3"/>
      <c r="V798" s="3"/>
      <c r="W798" s="3"/>
      <c r="X798" s="3"/>
      <c r="Y798" s="3"/>
      <c r="Z798" s="3"/>
    </row>
    <row r="799" customFormat="false" ht="15.75" hidden="false" customHeight="true" outlineLevel="0" collapsed="false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2"/>
      <c r="S799" s="3"/>
      <c r="T799" s="3"/>
      <c r="U799" s="3"/>
      <c r="V799" s="3"/>
      <c r="W799" s="3"/>
      <c r="X799" s="3"/>
      <c r="Y799" s="3"/>
      <c r="Z799" s="3"/>
    </row>
    <row r="800" customFormat="false" ht="15.75" hidden="false" customHeight="true" outlineLevel="0" collapsed="false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2"/>
      <c r="S800" s="3"/>
      <c r="T800" s="3"/>
      <c r="U800" s="3"/>
      <c r="V800" s="3"/>
      <c r="W800" s="3"/>
      <c r="X800" s="3"/>
      <c r="Y800" s="3"/>
      <c r="Z800" s="3"/>
    </row>
    <row r="801" customFormat="false" ht="15.75" hidden="false" customHeight="true" outlineLevel="0" collapsed="false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2"/>
      <c r="S801" s="3"/>
      <c r="T801" s="3"/>
      <c r="U801" s="3"/>
      <c r="V801" s="3"/>
      <c r="W801" s="3"/>
      <c r="X801" s="3"/>
      <c r="Y801" s="3"/>
      <c r="Z801" s="3"/>
    </row>
    <row r="802" customFormat="false" ht="15.75" hidden="false" customHeight="true" outlineLevel="0" collapsed="false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2"/>
      <c r="S802" s="3"/>
      <c r="T802" s="3"/>
      <c r="U802" s="3"/>
      <c r="V802" s="3"/>
      <c r="W802" s="3"/>
      <c r="X802" s="3"/>
      <c r="Y802" s="3"/>
      <c r="Z802" s="3"/>
    </row>
    <row r="803" customFormat="false" ht="15.75" hidden="false" customHeight="true" outlineLevel="0" collapsed="false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2"/>
      <c r="S803" s="3"/>
      <c r="T803" s="3"/>
      <c r="U803" s="3"/>
      <c r="V803" s="3"/>
      <c r="W803" s="3"/>
      <c r="X803" s="3"/>
      <c r="Y803" s="3"/>
      <c r="Z803" s="3"/>
    </row>
    <row r="804" customFormat="false" ht="15.75" hidden="false" customHeight="true" outlineLevel="0" collapsed="false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2"/>
      <c r="S804" s="3"/>
      <c r="T804" s="3"/>
      <c r="U804" s="3"/>
      <c r="V804" s="3"/>
      <c r="W804" s="3"/>
      <c r="X804" s="3"/>
      <c r="Y804" s="3"/>
      <c r="Z804" s="3"/>
    </row>
    <row r="805" customFormat="false" ht="15.75" hidden="false" customHeight="true" outlineLevel="0" collapsed="false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2"/>
      <c r="S805" s="3"/>
      <c r="T805" s="3"/>
      <c r="U805" s="3"/>
      <c r="V805" s="3"/>
      <c r="W805" s="3"/>
      <c r="X805" s="3"/>
      <c r="Y805" s="3"/>
      <c r="Z805" s="3"/>
    </row>
    <row r="806" customFormat="false" ht="15.75" hidden="false" customHeight="true" outlineLevel="0" collapsed="false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2"/>
      <c r="S806" s="3"/>
      <c r="T806" s="3"/>
      <c r="U806" s="3"/>
      <c r="V806" s="3"/>
      <c r="W806" s="3"/>
      <c r="X806" s="3"/>
      <c r="Y806" s="3"/>
      <c r="Z806" s="3"/>
    </row>
    <row r="807" customFormat="false" ht="15.75" hidden="false" customHeight="true" outlineLevel="0" collapsed="false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2"/>
      <c r="S807" s="3"/>
      <c r="T807" s="3"/>
      <c r="U807" s="3"/>
      <c r="V807" s="3"/>
      <c r="W807" s="3"/>
      <c r="X807" s="3"/>
      <c r="Y807" s="3"/>
      <c r="Z807" s="3"/>
    </row>
    <row r="808" customFormat="false" ht="15.75" hidden="false" customHeight="true" outlineLevel="0" collapsed="false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2"/>
      <c r="S808" s="3"/>
      <c r="T808" s="3"/>
      <c r="U808" s="3"/>
      <c r="V808" s="3"/>
      <c r="W808" s="3"/>
      <c r="X808" s="3"/>
      <c r="Y808" s="3"/>
      <c r="Z808" s="3"/>
    </row>
    <row r="809" customFormat="false" ht="15.75" hidden="false" customHeight="true" outlineLevel="0" collapsed="false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2"/>
      <c r="S809" s="3"/>
      <c r="T809" s="3"/>
      <c r="U809" s="3"/>
      <c r="V809" s="3"/>
      <c r="W809" s="3"/>
      <c r="X809" s="3"/>
      <c r="Y809" s="3"/>
      <c r="Z809" s="3"/>
    </row>
    <row r="810" customFormat="false" ht="15.75" hidden="false" customHeight="true" outlineLevel="0" collapsed="false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2"/>
      <c r="S810" s="3"/>
      <c r="T810" s="3"/>
      <c r="U810" s="3"/>
      <c r="V810" s="3"/>
      <c r="W810" s="3"/>
      <c r="X810" s="3"/>
      <c r="Y810" s="3"/>
      <c r="Z810" s="3"/>
    </row>
    <row r="811" customFormat="false" ht="15.75" hidden="false" customHeight="true" outlineLevel="0" collapsed="false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2"/>
      <c r="S811" s="3"/>
      <c r="T811" s="3"/>
      <c r="U811" s="3"/>
      <c r="V811" s="3"/>
      <c r="W811" s="3"/>
      <c r="X811" s="3"/>
      <c r="Y811" s="3"/>
      <c r="Z811" s="3"/>
    </row>
    <row r="812" customFormat="false" ht="15.75" hidden="false" customHeight="true" outlineLevel="0" collapsed="false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2"/>
      <c r="S812" s="3"/>
      <c r="T812" s="3"/>
      <c r="U812" s="3"/>
      <c r="V812" s="3"/>
      <c r="W812" s="3"/>
      <c r="X812" s="3"/>
      <c r="Y812" s="3"/>
      <c r="Z812" s="3"/>
    </row>
    <row r="813" customFormat="false" ht="15.75" hidden="false" customHeight="true" outlineLevel="0" collapsed="false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2"/>
      <c r="S813" s="3"/>
      <c r="T813" s="3"/>
      <c r="U813" s="3"/>
      <c r="V813" s="3"/>
      <c r="W813" s="3"/>
      <c r="X813" s="3"/>
      <c r="Y813" s="3"/>
      <c r="Z813" s="3"/>
    </row>
    <row r="814" customFormat="false" ht="15.75" hidden="false" customHeight="true" outlineLevel="0" collapsed="false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2"/>
      <c r="S814" s="3"/>
      <c r="T814" s="3"/>
      <c r="U814" s="3"/>
      <c r="V814" s="3"/>
      <c r="W814" s="3"/>
      <c r="X814" s="3"/>
      <c r="Y814" s="3"/>
      <c r="Z814" s="3"/>
    </row>
    <row r="815" customFormat="false" ht="15.75" hidden="false" customHeight="true" outlineLevel="0" collapsed="false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2"/>
      <c r="S815" s="3"/>
      <c r="T815" s="3"/>
      <c r="U815" s="3"/>
      <c r="V815" s="3"/>
      <c r="W815" s="3"/>
      <c r="X815" s="3"/>
      <c r="Y815" s="3"/>
      <c r="Z815" s="3"/>
    </row>
    <row r="816" customFormat="false" ht="15.75" hidden="false" customHeight="true" outlineLevel="0" collapsed="false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2"/>
      <c r="S816" s="3"/>
      <c r="T816" s="3"/>
      <c r="U816" s="3"/>
      <c r="V816" s="3"/>
      <c r="W816" s="3"/>
      <c r="X816" s="3"/>
      <c r="Y816" s="3"/>
      <c r="Z816" s="3"/>
    </row>
    <row r="817" customFormat="false" ht="15.75" hidden="false" customHeight="true" outlineLevel="0" collapsed="false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2"/>
      <c r="S817" s="3"/>
      <c r="T817" s="3"/>
      <c r="U817" s="3"/>
      <c r="V817" s="3"/>
      <c r="W817" s="3"/>
      <c r="X817" s="3"/>
      <c r="Y817" s="3"/>
      <c r="Z817" s="3"/>
    </row>
    <row r="818" customFormat="false" ht="15.75" hidden="false" customHeight="true" outlineLevel="0" collapsed="false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2"/>
      <c r="S818" s="3"/>
      <c r="T818" s="3"/>
      <c r="U818" s="3"/>
      <c r="V818" s="3"/>
      <c r="W818" s="3"/>
      <c r="X818" s="3"/>
      <c r="Y818" s="3"/>
      <c r="Z818" s="3"/>
    </row>
    <row r="819" customFormat="false" ht="15.75" hidden="false" customHeight="true" outlineLevel="0" collapsed="false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2"/>
      <c r="S819" s="3"/>
      <c r="T819" s="3"/>
      <c r="U819" s="3"/>
      <c r="V819" s="3"/>
      <c r="W819" s="3"/>
      <c r="X819" s="3"/>
      <c r="Y819" s="3"/>
      <c r="Z819" s="3"/>
    </row>
    <row r="820" customFormat="false" ht="15.75" hidden="false" customHeight="true" outlineLevel="0" collapsed="false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2"/>
      <c r="S820" s="3"/>
      <c r="T820" s="3"/>
      <c r="U820" s="3"/>
      <c r="V820" s="3"/>
      <c r="W820" s="3"/>
      <c r="X820" s="3"/>
      <c r="Y820" s="3"/>
      <c r="Z820" s="3"/>
    </row>
    <row r="821" customFormat="false" ht="15.75" hidden="false" customHeight="true" outlineLevel="0" collapsed="false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2"/>
      <c r="S821" s="3"/>
      <c r="T821" s="3"/>
      <c r="U821" s="3"/>
      <c r="V821" s="3"/>
      <c r="W821" s="3"/>
      <c r="X821" s="3"/>
      <c r="Y821" s="3"/>
      <c r="Z821" s="3"/>
    </row>
    <row r="822" customFormat="false" ht="15.75" hidden="false" customHeight="true" outlineLevel="0" collapsed="false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2"/>
      <c r="S822" s="3"/>
      <c r="T822" s="3"/>
      <c r="U822" s="3"/>
      <c r="V822" s="3"/>
      <c r="W822" s="3"/>
      <c r="X822" s="3"/>
      <c r="Y822" s="3"/>
      <c r="Z822" s="3"/>
    </row>
    <row r="823" customFormat="false" ht="15.75" hidden="false" customHeight="true" outlineLevel="0" collapsed="false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2"/>
      <c r="S823" s="3"/>
      <c r="T823" s="3"/>
      <c r="U823" s="3"/>
      <c r="V823" s="3"/>
      <c r="W823" s="3"/>
      <c r="X823" s="3"/>
      <c r="Y823" s="3"/>
      <c r="Z823" s="3"/>
    </row>
    <row r="824" customFormat="false" ht="15.75" hidden="false" customHeight="true" outlineLevel="0" collapsed="false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2"/>
      <c r="S824" s="3"/>
      <c r="T824" s="3"/>
      <c r="U824" s="3"/>
      <c r="V824" s="3"/>
      <c r="W824" s="3"/>
      <c r="X824" s="3"/>
      <c r="Y824" s="3"/>
      <c r="Z824" s="3"/>
    </row>
    <row r="825" customFormat="false" ht="15.75" hidden="false" customHeight="true" outlineLevel="0" collapsed="false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2"/>
      <c r="S825" s="3"/>
      <c r="T825" s="3"/>
      <c r="U825" s="3"/>
      <c r="V825" s="3"/>
      <c r="W825" s="3"/>
      <c r="X825" s="3"/>
      <c r="Y825" s="3"/>
      <c r="Z825" s="3"/>
    </row>
    <row r="826" customFormat="false" ht="15.75" hidden="false" customHeight="true" outlineLevel="0" collapsed="false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2"/>
      <c r="S826" s="3"/>
      <c r="T826" s="3"/>
      <c r="U826" s="3"/>
      <c r="V826" s="3"/>
      <c r="W826" s="3"/>
      <c r="X826" s="3"/>
      <c r="Y826" s="3"/>
      <c r="Z826" s="3"/>
    </row>
    <row r="827" customFormat="false" ht="15.75" hidden="false" customHeight="true" outlineLevel="0" collapsed="false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2"/>
      <c r="S827" s="3"/>
      <c r="T827" s="3"/>
      <c r="U827" s="3"/>
      <c r="V827" s="3"/>
      <c r="W827" s="3"/>
      <c r="X827" s="3"/>
      <c r="Y827" s="3"/>
      <c r="Z827" s="3"/>
    </row>
    <row r="828" customFormat="false" ht="15.75" hidden="false" customHeight="true" outlineLevel="0" collapsed="false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2"/>
      <c r="S828" s="3"/>
      <c r="T828" s="3"/>
      <c r="U828" s="3"/>
      <c r="V828" s="3"/>
      <c r="W828" s="3"/>
      <c r="X828" s="3"/>
      <c r="Y828" s="3"/>
      <c r="Z828" s="3"/>
    </row>
    <row r="829" customFormat="false" ht="15.75" hidden="false" customHeight="true" outlineLevel="0" collapsed="false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2"/>
      <c r="S829" s="3"/>
      <c r="T829" s="3"/>
      <c r="U829" s="3"/>
      <c r="V829" s="3"/>
      <c r="W829" s="3"/>
      <c r="X829" s="3"/>
      <c r="Y829" s="3"/>
      <c r="Z829" s="3"/>
    </row>
    <row r="830" customFormat="false" ht="15.75" hidden="false" customHeight="true" outlineLevel="0" collapsed="false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2"/>
      <c r="S830" s="3"/>
      <c r="T830" s="3"/>
      <c r="U830" s="3"/>
      <c r="V830" s="3"/>
      <c r="W830" s="3"/>
      <c r="X830" s="3"/>
      <c r="Y830" s="3"/>
      <c r="Z830" s="3"/>
    </row>
    <row r="831" customFormat="false" ht="15.75" hidden="false" customHeight="true" outlineLevel="0" collapsed="false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2"/>
      <c r="S831" s="3"/>
      <c r="T831" s="3"/>
      <c r="U831" s="3"/>
      <c r="V831" s="3"/>
      <c r="W831" s="3"/>
      <c r="X831" s="3"/>
      <c r="Y831" s="3"/>
      <c r="Z831" s="3"/>
    </row>
    <row r="832" customFormat="false" ht="15.75" hidden="false" customHeight="true" outlineLevel="0" collapsed="false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2"/>
      <c r="S832" s="3"/>
      <c r="T832" s="3"/>
      <c r="U832" s="3"/>
      <c r="V832" s="3"/>
      <c r="W832" s="3"/>
      <c r="X832" s="3"/>
      <c r="Y832" s="3"/>
      <c r="Z832" s="3"/>
    </row>
    <row r="833" customFormat="false" ht="15.75" hidden="false" customHeight="true" outlineLevel="0" collapsed="false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2"/>
      <c r="S833" s="3"/>
      <c r="T833" s="3"/>
      <c r="U833" s="3"/>
      <c r="V833" s="3"/>
      <c r="W833" s="3"/>
      <c r="X833" s="3"/>
      <c r="Y833" s="3"/>
      <c r="Z833" s="3"/>
    </row>
    <row r="834" customFormat="false" ht="15.75" hidden="false" customHeight="true" outlineLevel="0" collapsed="false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2"/>
      <c r="S834" s="3"/>
      <c r="T834" s="3"/>
      <c r="U834" s="3"/>
      <c r="V834" s="3"/>
      <c r="W834" s="3"/>
      <c r="X834" s="3"/>
      <c r="Y834" s="3"/>
      <c r="Z834" s="3"/>
    </row>
    <row r="835" customFormat="false" ht="15.75" hidden="false" customHeight="true" outlineLevel="0" collapsed="false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2"/>
      <c r="S835" s="3"/>
      <c r="T835" s="3"/>
      <c r="U835" s="3"/>
      <c r="V835" s="3"/>
      <c r="W835" s="3"/>
      <c r="X835" s="3"/>
      <c r="Y835" s="3"/>
      <c r="Z835" s="3"/>
    </row>
    <row r="836" customFormat="false" ht="15.75" hidden="false" customHeight="true" outlineLevel="0" collapsed="false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2"/>
      <c r="S836" s="3"/>
      <c r="T836" s="3"/>
      <c r="U836" s="3"/>
      <c r="V836" s="3"/>
      <c r="W836" s="3"/>
      <c r="X836" s="3"/>
      <c r="Y836" s="3"/>
      <c r="Z836" s="3"/>
    </row>
    <row r="837" customFormat="false" ht="15.75" hidden="false" customHeight="true" outlineLevel="0" collapsed="false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2"/>
      <c r="S837" s="3"/>
      <c r="T837" s="3"/>
      <c r="U837" s="3"/>
      <c r="V837" s="3"/>
      <c r="W837" s="3"/>
      <c r="X837" s="3"/>
      <c r="Y837" s="3"/>
      <c r="Z837" s="3"/>
    </row>
    <row r="838" customFormat="false" ht="15.75" hidden="false" customHeight="true" outlineLevel="0" collapsed="false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2"/>
      <c r="S838" s="3"/>
      <c r="T838" s="3"/>
      <c r="U838" s="3"/>
      <c r="V838" s="3"/>
      <c r="W838" s="3"/>
      <c r="X838" s="3"/>
      <c r="Y838" s="3"/>
      <c r="Z838" s="3"/>
    </row>
    <row r="839" customFormat="false" ht="15.75" hidden="false" customHeight="true" outlineLevel="0" collapsed="false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2"/>
      <c r="S839" s="3"/>
      <c r="T839" s="3"/>
      <c r="U839" s="3"/>
      <c r="V839" s="3"/>
      <c r="W839" s="3"/>
      <c r="X839" s="3"/>
      <c r="Y839" s="3"/>
      <c r="Z839" s="3"/>
    </row>
    <row r="840" customFormat="false" ht="15.75" hidden="false" customHeight="true" outlineLevel="0" collapsed="false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2"/>
      <c r="S840" s="3"/>
      <c r="T840" s="3"/>
      <c r="U840" s="3"/>
      <c r="V840" s="3"/>
      <c r="W840" s="3"/>
      <c r="X840" s="3"/>
      <c r="Y840" s="3"/>
      <c r="Z840" s="3"/>
    </row>
    <row r="841" customFormat="false" ht="15.75" hidden="false" customHeight="true" outlineLevel="0" collapsed="false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2"/>
      <c r="S841" s="3"/>
      <c r="T841" s="3"/>
      <c r="U841" s="3"/>
      <c r="V841" s="3"/>
      <c r="W841" s="3"/>
      <c r="X841" s="3"/>
      <c r="Y841" s="3"/>
      <c r="Z841" s="3"/>
    </row>
    <row r="842" customFormat="false" ht="15.75" hidden="false" customHeight="true" outlineLevel="0" collapsed="false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2"/>
      <c r="S842" s="3"/>
      <c r="T842" s="3"/>
      <c r="U842" s="3"/>
      <c r="V842" s="3"/>
      <c r="W842" s="3"/>
      <c r="X842" s="3"/>
      <c r="Y842" s="3"/>
      <c r="Z842" s="3"/>
    </row>
    <row r="843" customFormat="false" ht="15.75" hidden="false" customHeight="true" outlineLevel="0" collapsed="false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2"/>
      <c r="S843" s="3"/>
      <c r="T843" s="3"/>
      <c r="U843" s="3"/>
      <c r="V843" s="3"/>
      <c r="W843" s="3"/>
      <c r="X843" s="3"/>
      <c r="Y843" s="3"/>
      <c r="Z843" s="3"/>
    </row>
    <row r="844" customFormat="false" ht="15.75" hidden="false" customHeight="true" outlineLevel="0" collapsed="false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2"/>
      <c r="S844" s="3"/>
      <c r="T844" s="3"/>
      <c r="U844" s="3"/>
      <c r="V844" s="3"/>
      <c r="W844" s="3"/>
      <c r="X844" s="3"/>
      <c r="Y844" s="3"/>
      <c r="Z844" s="3"/>
    </row>
    <row r="845" customFormat="false" ht="15.75" hidden="false" customHeight="true" outlineLevel="0" collapsed="false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2"/>
      <c r="S845" s="3"/>
      <c r="T845" s="3"/>
      <c r="U845" s="3"/>
      <c r="V845" s="3"/>
      <c r="W845" s="3"/>
      <c r="X845" s="3"/>
      <c r="Y845" s="3"/>
      <c r="Z845" s="3"/>
    </row>
    <row r="846" customFormat="false" ht="15.75" hidden="false" customHeight="true" outlineLevel="0" collapsed="false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2"/>
      <c r="S846" s="3"/>
      <c r="T846" s="3"/>
      <c r="U846" s="3"/>
      <c r="V846" s="3"/>
      <c r="W846" s="3"/>
      <c r="X846" s="3"/>
      <c r="Y846" s="3"/>
      <c r="Z846" s="3"/>
    </row>
    <row r="847" customFormat="false" ht="15.75" hidden="false" customHeight="true" outlineLevel="0" collapsed="false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2"/>
      <c r="S847" s="3"/>
      <c r="T847" s="3"/>
      <c r="U847" s="3"/>
      <c r="V847" s="3"/>
      <c r="W847" s="3"/>
      <c r="X847" s="3"/>
      <c r="Y847" s="3"/>
      <c r="Z847" s="3"/>
    </row>
    <row r="848" customFormat="false" ht="15.75" hidden="false" customHeight="true" outlineLevel="0" collapsed="false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2"/>
      <c r="S848" s="3"/>
      <c r="T848" s="3"/>
      <c r="U848" s="3"/>
      <c r="V848" s="3"/>
      <c r="W848" s="3"/>
      <c r="X848" s="3"/>
      <c r="Y848" s="3"/>
      <c r="Z848" s="3"/>
    </row>
    <row r="849" customFormat="false" ht="15.75" hidden="false" customHeight="true" outlineLevel="0" collapsed="false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2"/>
      <c r="S849" s="3"/>
      <c r="T849" s="3"/>
      <c r="U849" s="3"/>
      <c r="V849" s="3"/>
      <c r="W849" s="3"/>
      <c r="X849" s="3"/>
      <c r="Y849" s="3"/>
      <c r="Z849" s="3"/>
    </row>
    <row r="850" customFormat="false" ht="15.75" hidden="false" customHeight="true" outlineLevel="0" collapsed="false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2"/>
      <c r="S850" s="3"/>
      <c r="T850" s="3"/>
      <c r="U850" s="3"/>
      <c r="V850" s="3"/>
      <c r="W850" s="3"/>
      <c r="X850" s="3"/>
      <c r="Y850" s="3"/>
      <c r="Z850" s="3"/>
    </row>
    <row r="851" customFormat="false" ht="15.75" hidden="false" customHeight="true" outlineLevel="0" collapsed="false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2"/>
      <c r="S851" s="3"/>
      <c r="T851" s="3"/>
      <c r="U851" s="3"/>
      <c r="V851" s="3"/>
      <c r="W851" s="3"/>
      <c r="X851" s="3"/>
      <c r="Y851" s="3"/>
      <c r="Z851" s="3"/>
    </row>
    <row r="852" customFormat="false" ht="15.75" hidden="false" customHeight="true" outlineLevel="0" collapsed="false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2"/>
      <c r="S852" s="3"/>
      <c r="T852" s="3"/>
      <c r="U852" s="3"/>
      <c r="V852" s="3"/>
      <c r="W852" s="3"/>
      <c r="X852" s="3"/>
      <c r="Y852" s="3"/>
      <c r="Z852" s="3"/>
    </row>
    <row r="853" customFormat="false" ht="15.75" hidden="false" customHeight="true" outlineLevel="0" collapsed="false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2"/>
      <c r="S853" s="3"/>
      <c r="T853" s="3"/>
      <c r="U853" s="3"/>
      <c r="V853" s="3"/>
      <c r="W853" s="3"/>
      <c r="X853" s="3"/>
      <c r="Y853" s="3"/>
      <c r="Z853" s="3"/>
    </row>
    <row r="854" customFormat="false" ht="15.75" hidden="false" customHeight="true" outlineLevel="0" collapsed="false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2"/>
      <c r="S854" s="3"/>
      <c r="T854" s="3"/>
      <c r="U854" s="3"/>
      <c r="V854" s="3"/>
      <c r="W854" s="3"/>
      <c r="X854" s="3"/>
      <c r="Y854" s="3"/>
      <c r="Z854" s="3"/>
    </row>
    <row r="855" customFormat="false" ht="15.75" hidden="false" customHeight="true" outlineLevel="0" collapsed="false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2"/>
      <c r="S855" s="3"/>
      <c r="T855" s="3"/>
      <c r="U855" s="3"/>
      <c r="V855" s="3"/>
      <c r="W855" s="3"/>
      <c r="X855" s="3"/>
      <c r="Y855" s="3"/>
      <c r="Z855" s="3"/>
    </row>
    <row r="856" customFormat="false" ht="15.75" hidden="false" customHeight="true" outlineLevel="0" collapsed="false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2"/>
      <c r="S856" s="3"/>
      <c r="T856" s="3"/>
      <c r="U856" s="3"/>
      <c r="V856" s="3"/>
      <c r="W856" s="3"/>
      <c r="X856" s="3"/>
      <c r="Y856" s="3"/>
      <c r="Z856" s="3"/>
    </row>
    <row r="857" customFormat="false" ht="15.75" hidden="false" customHeight="true" outlineLevel="0" collapsed="false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2"/>
      <c r="S857" s="3"/>
      <c r="T857" s="3"/>
      <c r="U857" s="3"/>
      <c r="V857" s="3"/>
      <c r="W857" s="3"/>
      <c r="X857" s="3"/>
      <c r="Y857" s="3"/>
      <c r="Z857" s="3"/>
    </row>
    <row r="858" customFormat="false" ht="15.75" hidden="false" customHeight="true" outlineLevel="0" collapsed="false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2"/>
      <c r="S858" s="3"/>
      <c r="T858" s="3"/>
      <c r="U858" s="3"/>
      <c r="V858" s="3"/>
      <c r="W858" s="3"/>
      <c r="X858" s="3"/>
      <c r="Y858" s="3"/>
      <c r="Z858" s="3"/>
    </row>
    <row r="859" customFormat="false" ht="15.75" hidden="false" customHeight="true" outlineLevel="0" collapsed="false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2"/>
      <c r="S859" s="3"/>
      <c r="T859" s="3"/>
      <c r="U859" s="3"/>
      <c r="V859" s="3"/>
      <c r="W859" s="3"/>
      <c r="X859" s="3"/>
      <c r="Y859" s="3"/>
      <c r="Z859" s="3"/>
    </row>
    <row r="860" customFormat="false" ht="15.75" hidden="false" customHeight="true" outlineLevel="0" collapsed="false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2"/>
      <c r="S860" s="3"/>
      <c r="T860" s="3"/>
      <c r="U860" s="3"/>
      <c r="V860" s="3"/>
      <c r="W860" s="3"/>
      <c r="X860" s="3"/>
      <c r="Y860" s="3"/>
      <c r="Z860" s="3"/>
    </row>
    <row r="861" customFormat="false" ht="15.75" hidden="false" customHeight="true" outlineLevel="0" collapsed="false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2"/>
      <c r="S861" s="3"/>
      <c r="T861" s="3"/>
      <c r="U861" s="3"/>
      <c r="V861" s="3"/>
      <c r="W861" s="3"/>
      <c r="X861" s="3"/>
      <c r="Y861" s="3"/>
      <c r="Z861" s="3"/>
    </row>
    <row r="862" customFormat="false" ht="15.75" hidden="false" customHeight="true" outlineLevel="0" collapsed="false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2"/>
      <c r="S862" s="3"/>
      <c r="T862" s="3"/>
      <c r="U862" s="3"/>
      <c r="V862" s="3"/>
      <c r="W862" s="3"/>
      <c r="X862" s="3"/>
      <c r="Y862" s="3"/>
      <c r="Z862" s="3"/>
    </row>
    <row r="863" customFormat="false" ht="15.75" hidden="false" customHeight="true" outlineLevel="0" collapsed="false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2"/>
      <c r="S863" s="3"/>
      <c r="T863" s="3"/>
      <c r="U863" s="3"/>
      <c r="V863" s="3"/>
      <c r="W863" s="3"/>
      <c r="X863" s="3"/>
      <c r="Y863" s="3"/>
      <c r="Z863" s="3"/>
    </row>
    <row r="864" customFormat="false" ht="15.75" hidden="false" customHeight="true" outlineLevel="0" collapsed="false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2"/>
      <c r="S864" s="3"/>
      <c r="T864" s="3"/>
      <c r="U864" s="3"/>
      <c r="V864" s="3"/>
      <c r="W864" s="3"/>
      <c r="X864" s="3"/>
      <c r="Y864" s="3"/>
      <c r="Z864" s="3"/>
    </row>
    <row r="865" customFormat="false" ht="15.75" hidden="false" customHeight="true" outlineLevel="0" collapsed="false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2"/>
      <c r="S865" s="3"/>
      <c r="T865" s="3"/>
      <c r="U865" s="3"/>
      <c r="V865" s="3"/>
      <c r="W865" s="3"/>
      <c r="X865" s="3"/>
      <c r="Y865" s="3"/>
      <c r="Z865" s="3"/>
    </row>
    <row r="866" customFormat="false" ht="15.75" hidden="false" customHeight="true" outlineLevel="0" collapsed="false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2"/>
      <c r="S866" s="3"/>
      <c r="T866" s="3"/>
      <c r="U866" s="3"/>
      <c r="V866" s="3"/>
      <c r="W866" s="3"/>
      <c r="X866" s="3"/>
      <c r="Y866" s="3"/>
      <c r="Z866" s="3"/>
    </row>
    <row r="867" customFormat="false" ht="15.75" hidden="false" customHeight="true" outlineLevel="0" collapsed="false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2"/>
      <c r="S867" s="3"/>
      <c r="T867" s="3"/>
      <c r="U867" s="3"/>
      <c r="V867" s="3"/>
      <c r="W867" s="3"/>
      <c r="X867" s="3"/>
      <c r="Y867" s="3"/>
      <c r="Z867" s="3"/>
    </row>
    <row r="868" customFormat="false" ht="15.75" hidden="false" customHeight="true" outlineLevel="0" collapsed="false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2"/>
      <c r="S868" s="3"/>
      <c r="T868" s="3"/>
      <c r="U868" s="3"/>
      <c r="V868" s="3"/>
      <c r="W868" s="3"/>
      <c r="X868" s="3"/>
      <c r="Y868" s="3"/>
      <c r="Z868" s="3"/>
    </row>
    <row r="869" customFormat="false" ht="15.75" hidden="false" customHeight="true" outlineLevel="0" collapsed="false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2"/>
      <c r="S869" s="3"/>
      <c r="T869" s="3"/>
      <c r="U869" s="3"/>
      <c r="V869" s="3"/>
      <c r="W869" s="3"/>
      <c r="X869" s="3"/>
      <c r="Y869" s="3"/>
      <c r="Z869" s="3"/>
    </row>
    <row r="870" customFormat="false" ht="15.75" hidden="false" customHeight="true" outlineLevel="0" collapsed="false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2"/>
      <c r="S870" s="3"/>
      <c r="T870" s="3"/>
      <c r="U870" s="3"/>
      <c r="V870" s="3"/>
      <c r="W870" s="3"/>
      <c r="X870" s="3"/>
      <c r="Y870" s="3"/>
      <c r="Z870" s="3"/>
    </row>
    <row r="871" customFormat="false" ht="15.75" hidden="false" customHeight="true" outlineLevel="0" collapsed="false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2"/>
      <c r="S871" s="3"/>
      <c r="T871" s="3"/>
      <c r="U871" s="3"/>
      <c r="V871" s="3"/>
      <c r="W871" s="3"/>
      <c r="X871" s="3"/>
      <c r="Y871" s="3"/>
      <c r="Z871" s="3"/>
    </row>
    <row r="872" customFormat="false" ht="15.75" hidden="false" customHeight="true" outlineLevel="0" collapsed="false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2"/>
      <c r="S872" s="3"/>
      <c r="T872" s="3"/>
      <c r="U872" s="3"/>
      <c r="V872" s="3"/>
      <c r="W872" s="3"/>
      <c r="X872" s="3"/>
      <c r="Y872" s="3"/>
      <c r="Z872" s="3"/>
    </row>
    <row r="873" customFormat="false" ht="15.75" hidden="false" customHeight="true" outlineLevel="0" collapsed="false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2"/>
      <c r="S873" s="3"/>
      <c r="T873" s="3"/>
      <c r="U873" s="3"/>
      <c r="V873" s="3"/>
      <c r="W873" s="3"/>
      <c r="X873" s="3"/>
      <c r="Y873" s="3"/>
      <c r="Z873" s="3"/>
    </row>
    <row r="874" customFormat="false" ht="15.75" hidden="false" customHeight="true" outlineLevel="0" collapsed="false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2"/>
      <c r="S874" s="3"/>
      <c r="T874" s="3"/>
      <c r="U874" s="3"/>
      <c r="V874" s="3"/>
      <c r="W874" s="3"/>
      <c r="X874" s="3"/>
      <c r="Y874" s="3"/>
      <c r="Z874" s="3"/>
    </row>
    <row r="875" customFormat="false" ht="15.75" hidden="false" customHeight="true" outlineLevel="0" collapsed="false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2"/>
      <c r="S875" s="3"/>
      <c r="T875" s="3"/>
      <c r="U875" s="3"/>
      <c r="V875" s="3"/>
      <c r="W875" s="3"/>
      <c r="X875" s="3"/>
      <c r="Y875" s="3"/>
      <c r="Z875" s="3"/>
    </row>
    <row r="876" customFormat="false" ht="15.75" hidden="false" customHeight="true" outlineLevel="0" collapsed="false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2"/>
      <c r="S876" s="3"/>
      <c r="T876" s="3"/>
      <c r="U876" s="3"/>
      <c r="V876" s="3"/>
      <c r="W876" s="3"/>
      <c r="X876" s="3"/>
      <c r="Y876" s="3"/>
      <c r="Z876" s="3"/>
    </row>
    <row r="877" customFormat="false" ht="15.75" hidden="false" customHeight="true" outlineLevel="0" collapsed="false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2"/>
      <c r="S877" s="3"/>
      <c r="T877" s="3"/>
      <c r="U877" s="3"/>
      <c r="V877" s="3"/>
      <c r="W877" s="3"/>
      <c r="X877" s="3"/>
      <c r="Y877" s="3"/>
      <c r="Z877" s="3"/>
    </row>
    <row r="878" customFormat="false" ht="15.75" hidden="false" customHeight="true" outlineLevel="0" collapsed="false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2"/>
      <c r="S878" s="3"/>
      <c r="T878" s="3"/>
      <c r="U878" s="3"/>
      <c r="V878" s="3"/>
      <c r="W878" s="3"/>
      <c r="X878" s="3"/>
      <c r="Y878" s="3"/>
      <c r="Z878" s="3"/>
    </row>
    <row r="879" customFormat="false" ht="15.75" hidden="false" customHeight="true" outlineLevel="0" collapsed="false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2"/>
      <c r="S879" s="3"/>
      <c r="T879" s="3"/>
      <c r="U879" s="3"/>
      <c r="V879" s="3"/>
      <c r="W879" s="3"/>
      <c r="X879" s="3"/>
      <c r="Y879" s="3"/>
      <c r="Z879" s="3"/>
    </row>
    <row r="880" customFormat="false" ht="15.75" hidden="false" customHeight="true" outlineLevel="0" collapsed="false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2"/>
      <c r="S880" s="3"/>
      <c r="T880" s="3"/>
      <c r="U880" s="3"/>
      <c r="V880" s="3"/>
      <c r="W880" s="3"/>
      <c r="X880" s="3"/>
      <c r="Y880" s="3"/>
      <c r="Z880" s="3"/>
    </row>
    <row r="881" customFormat="false" ht="15.75" hidden="false" customHeight="true" outlineLevel="0" collapsed="false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2"/>
      <c r="S881" s="3"/>
      <c r="T881" s="3"/>
      <c r="U881" s="3"/>
      <c r="V881" s="3"/>
      <c r="W881" s="3"/>
      <c r="X881" s="3"/>
      <c r="Y881" s="3"/>
      <c r="Z881" s="3"/>
    </row>
    <row r="882" customFormat="false" ht="15.75" hidden="false" customHeight="true" outlineLevel="0" collapsed="false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2"/>
      <c r="S882" s="3"/>
      <c r="T882" s="3"/>
      <c r="U882" s="3"/>
      <c r="V882" s="3"/>
      <c r="W882" s="3"/>
      <c r="X882" s="3"/>
      <c r="Y882" s="3"/>
      <c r="Z882" s="3"/>
    </row>
    <row r="883" customFormat="false" ht="15.75" hidden="false" customHeight="true" outlineLevel="0" collapsed="false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2"/>
      <c r="S883" s="3"/>
      <c r="T883" s="3"/>
      <c r="U883" s="3"/>
      <c r="V883" s="3"/>
      <c r="W883" s="3"/>
      <c r="X883" s="3"/>
      <c r="Y883" s="3"/>
      <c r="Z883" s="3"/>
    </row>
    <row r="884" customFormat="false" ht="15.75" hidden="false" customHeight="true" outlineLevel="0" collapsed="false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2"/>
      <c r="S884" s="3"/>
      <c r="T884" s="3"/>
      <c r="U884" s="3"/>
      <c r="V884" s="3"/>
      <c r="W884" s="3"/>
      <c r="X884" s="3"/>
      <c r="Y884" s="3"/>
      <c r="Z884" s="3"/>
    </row>
    <row r="885" customFormat="false" ht="15.75" hidden="false" customHeight="true" outlineLevel="0" collapsed="false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2"/>
      <c r="S885" s="3"/>
      <c r="T885" s="3"/>
      <c r="U885" s="3"/>
      <c r="V885" s="3"/>
      <c r="W885" s="3"/>
      <c r="X885" s="3"/>
      <c r="Y885" s="3"/>
      <c r="Z885" s="3"/>
    </row>
    <row r="886" customFormat="false" ht="15.75" hidden="false" customHeight="true" outlineLevel="0" collapsed="false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2"/>
      <c r="S886" s="3"/>
      <c r="T886" s="3"/>
      <c r="U886" s="3"/>
      <c r="V886" s="3"/>
      <c r="W886" s="3"/>
      <c r="X886" s="3"/>
      <c r="Y886" s="3"/>
      <c r="Z886" s="3"/>
    </row>
    <row r="887" customFormat="false" ht="15.75" hidden="false" customHeight="true" outlineLevel="0" collapsed="false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2"/>
      <c r="S887" s="3"/>
      <c r="T887" s="3"/>
      <c r="U887" s="3"/>
      <c r="V887" s="3"/>
      <c r="W887" s="3"/>
      <c r="X887" s="3"/>
      <c r="Y887" s="3"/>
      <c r="Z887" s="3"/>
    </row>
    <row r="888" customFormat="false" ht="15.75" hidden="false" customHeight="true" outlineLevel="0" collapsed="false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2"/>
      <c r="S888" s="3"/>
      <c r="T888" s="3"/>
      <c r="U888" s="3"/>
      <c r="V888" s="3"/>
      <c r="W888" s="3"/>
      <c r="X888" s="3"/>
      <c r="Y888" s="3"/>
      <c r="Z888" s="3"/>
    </row>
    <row r="889" customFormat="false" ht="15.75" hidden="false" customHeight="true" outlineLevel="0" collapsed="false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2"/>
      <c r="S889" s="3"/>
      <c r="T889" s="3"/>
      <c r="U889" s="3"/>
      <c r="V889" s="3"/>
      <c r="W889" s="3"/>
      <c r="X889" s="3"/>
      <c r="Y889" s="3"/>
      <c r="Z889" s="3"/>
    </row>
    <row r="890" customFormat="false" ht="15.75" hidden="false" customHeight="true" outlineLevel="0" collapsed="false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2"/>
      <c r="S890" s="3"/>
      <c r="T890" s="3"/>
      <c r="U890" s="3"/>
      <c r="V890" s="3"/>
      <c r="W890" s="3"/>
      <c r="X890" s="3"/>
      <c r="Y890" s="3"/>
      <c r="Z890" s="3"/>
    </row>
    <row r="891" customFormat="false" ht="15.75" hidden="false" customHeight="true" outlineLevel="0" collapsed="false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2"/>
      <c r="S891" s="3"/>
      <c r="T891" s="3"/>
      <c r="U891" s="3"/>
      <c r="V891" s="3"/>
      <c r="W891" s="3"/>
      <c r="X891" s="3"/>
      <c r="Y891" s="3"/>
      <c r="Z891" s="3"/>
    </row>
    <row r="892" customFormat="false" ht="15.75" hidden="false" customHeight="true" outlineLevel="0" collapsed="false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2"/>
      <c r="S892" s="3"/>
      <c r="T892" s="3"/>
      <c r="U892" s="3"/>
      <c r="V892" s="3"/>
      <c r="W892" s="3"/>
      <c r="X892" s="3"/>
      <c r="Y892" s="3"/>
      <c r="Z892" s="3"/>
    </row>
    <row r="893" customFormat="false" ht="15.75" hidden="false" customHeight="true" outlineLevel="0" collapsed="false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2"/>
      <c r="S893" s="3"/>
      <c r="T893" s="3"/>
      <c r="U893" s="3"/>
      <c r="V893" s="3"/>
      <c r="W893" s="3"/>
      <c r="X893" s="3"/>
      <c r="Y893" s="3"/>
      <c r="Z893" s="3"/>
    </row>
    <row r="894" customFormat="false" ht="15.75" hidden="false" customHeight="true" outlineLevel="0" collapsed="false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2"/>
      <c r="S894" s="3"/>
      <c r="T894" s="3"/>
      <c r="U894" s="3"/>
      <c r="V894" s="3"/>
      <c r="W894" s="3"/>
      <c r="X894" s="3"/>
      <c r="Y894" s="3"/>
      <c r="Z894" s="3"/>
    </row>
    <row r="895" customFormat="false" ht="15.75" hidden="false" customHeight="true" outlineLevel="0" collapsed="false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2"/>
      <c r="S895" s="3"/>
      <c r="T895" s="3"/>
      <c r="U895" s="3"/>
      <c r="V895" s="3"/>
      <c r="W895" s="3"/>
      <c r="X895" s="3"/>
      <c r="Y895" s="3"/>
      <c r="Z895" s="3"/>
    </row>
    <row r="896" customFormat="false" ht="15.75" hidden="false" customHeight="true" outlineLevel="0" collapsed="false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2"/>
      <c r="S896" s="3"/>
      <c r="T896" s="3"/>
      <c r="U896" s="3"/>
      <c r="V896" s="3"/>
      <c r="W896" s="3"/>
      <c r="X896" s="3"/>
      <c r="Y896" s="3"/>
      <c r="Z896" s="3"/>
    </row>
    <row r="897" customFormat="false" ht="15.75" hidden="false" customHeight="true" outlineLevel="0" collapsed="false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2"/>
      <c r="S897" s="3"/>
      <c r="T897" s="3"/>
      <c r="U897" s="3"/>
      <c r="V897" s="3"/>
      <c r="W897" s="3"/>
      <c r="X897" s="3"/>
      <c r="Y897" s="3"/>
      <c r="Z897" s="3"/>
    </row>
    <row r="898" customFormat="false" ht="15.75" hidden="false" customHeight="true" outlineLevel="0" collapsed="false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2"/>
      <c r="S898" s="3"/>
      <c r="T898" s="3"/>
      <c r="U898" s="3"/>
      <c r="V898" s="3"/>
      <c r="W898" s="3"/>
      <c r="X898" s="3"/>
      <c r="Y898" s="3"/>
      <c r="Z898" s="3"/>
    </row>
    <row r="899" customFormat="false" ht="15.75" hidden="false" customHeight="true" outlineLevel="0" collapsed="false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2"/>
      <c r="S899" s="3"/>
      <c r="T899" s="3"/>
      <c r="U899" s="3"/>
      <c r="V899" s="3"/>
      <c r="W899" s="3"/>
      <c r="X899" s="3"/>
      <c r="Y899" s="3"/>
      <c r="Z899" s="3"/>
    </row>
    <row r="900" customFormat="false" ht="15.75" hidden="false" customHeight="true" outlineLevel="0" collapsed="false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2"/>
      <c r="S900" s="3"/>
      <c r="T900" s="3"/>
      <c r="U900" s="3"/>
      <c r="V900" s="3"/>
      <c r="W900" s="3"/>
      <c r="X900" s="3"/>
      <c r="Y900" s="3"/>
      <c r="Z900" s="3"/>
    </row>
    <row r="901" customFormat="false" ht="15.75" hidden="false" customHeight="true" outlineLevel="0" collapsed="false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2"/>
      <c r="S901" s="3"/>
      <c r="T901" s="3"/>
      <c r="U901" s="3"/>
      <c r="V901" s="3"/>
      <c r="W901" s="3"/>
      <c r="X901" s="3"/>
      <c r="Y901" s="3"/>
      <c r="Z901" s="3"/>
    </row>
    <row r="902" customFormat="false" ht="15.75" hidden="false" customHeight="true" outlineLevel="0" collapsed="false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2"/>
      <c r="S902" s="3"/>
      <c r="T902" s="3"/>
      <c r="U902" s="3"/>
      <c r="V902" s="3"/>
      <c r="W902" s="3"/>
      <c r="X902" s="3"/>
      <c r="Y902" s="3"/>
      <c r="Z902" s="3"/>
    </row>
    <row r="903" customFormat="false" ht="15.75" hidden="false" customHeight="true" outlineLevel="0" collapsed="false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2"/>
      <c r="S903" s="3"/>
      <c r="T903" s="3"/>
      <c r="U903" s="3"/>
      <c r="V903" s="3"/>
      <c r="W903" s="3"/>
      <c r="X903" s="3"/>
      <c r="Y903" s="3"/>
      <c r="Z903" s="3"/>
    </row>
    <row r="904" customFormat="false" ht="15.75" hidden="false" customHeight="true" outlineLevel="0" collapsed="false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2"/>
      <c r="S904" s="3"/>
      <c r="T904" s="3"/>
      <c r="U904" s="3"/>
      <c r="V904" s="3"/>
      <c r="W904" s="3"/>
      <c r="X904" s="3"/>
      <c r="Y904" s="3"/>
      <c r="Z904" s="3"/>
    </row>
    <row r="905" customFormat="false" ht="15.75" hidden="false" customHeight="true" outlineLevel="0" collapsed="false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2"/>
      <c r="S905" s="3"/>
      <c r="T905" s="3"/>
      <c r="U905" s="3"/>
      <c r="V905" s="3"/>
      <c r="W905" s="3"/>
      <c r="X905" s="3"/>
      <c r="Y905" s="3"/>
      <c r="Z905" s="3"/>
    </row>
    <row r="906" customFormat="false" ht="15.75" hidden="false" customHeight="true" outlineLevel="0" collapsed="false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2"/>
      <c r="S906" s="3"/>
      <c r="T906" s="3"/>
      <c r="U906" s="3"/>
      <c r="V906" s="3"/>
      <c r="W906" s="3"/>
      <c r="X906" s="3"/>
      <c r="Y906" s="3"/>
      <c r="Z906" s="3"/>
    </row>
    <row r="907" customFormat="false" ht="15.75" hidden="false" customHeight="true" outlineLevel="0" collapsed="false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2"/>
      <c r="S907" s="3"/>
      <c r="T907" s="3"/>
      <c r="U907" s="3"/>
      <c r="V907" s="3"/>
      <c r="W907" s="3"/>
      <c r="X907" s="3"/>
      <c r="Y907" s="3"/>
      <c r="Z907" s="3"/>
    </row>
    <row r="908" customFormat="false" ht="15.75" hidden="false" customHeight="true" outlineLevel="0" collapsed="false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2"/>
      <c r="S908" s="3"/>
      <c r="T908" s="3"/>
      <c r="U908" s="3"/>
      <c r="V908" s="3"/>
      <c r="W908" s="3"/>
      <c r="X908" s="3"/>
      <c r="Y908" s="3"/>
      <c r="Z908" s="3"/>
    </row>
    <row r="909" customFormat="false" ht="15.75" hidden="false" customHeight="true" outlineLevel="0" collapsed="false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2"/>
      <c r="S909" s="3"/>
      <c r="T909" s="3"/>
      <c r="U909" s="3"/>
      <c r="V909" s="3"/>
      <c r="W909" s="3"/>
      <c r="X909" s="3"/>
      <c r="Y909" s="3"/>
      <c r="Z909" s="3"/>
    </row>
    <row r="910" customFormat="false" ht="15.75" hidden="false" customHeight="true" outlineLevel="0" collapsed="false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2"/>
      <c r="S910" s="3"/>
      <c r="T910" s="3"/>
      <c r="U910" s="3"/>
      <c r="V910" s="3"/>
      <c r="W910" s="3"/>
      <c r="X910" s="3"/>
      <c r="Y910" s="3"/>
      <c r="Z910" s="3"/>
    </row>
    <row r="911" customFormat="false" ht="15.75" hidden="false" customHeight="true" outlineLevel="0" collapsed="false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2"/>
      <c r="S911" s="3"/>
      <c r="T911" s="3"/>
      <c r="U911" s="3"/>
      <c r="V911" s="3"/>
      <c r="W911" s="3"/>
      <c r="X911" s="3"/>
      <c r="Y911" s="3"/>
      <c r="Z911" s="3"/>
    </row>
    <row r="912" customFormat="false" ht="15.75" hidden="false" customHeight="true" outlineLevel="0" collapsed="false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2"/>
      <c r="S912" s="3"/>
      <c r="T912" s="3"/>
      <c r="U912" s="3"/>
      <c r="V912" s="3"/>
      <c r="W912" s="3"/>
      <c r="X912" s="3"/>
      <c r="Y912" s="3"/>
      <c r="Z912" s="3"/>
    </row>
    <row r="913" customFormat="false" ht="15.75" hidden="false" customHeight="true" outlineLevel="0" collapsed="false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2"/>
      <c r="S913" s="3"/>
      <c r="T913" s="3"/>
      <c r="U913" s="3"/>
      <c r="V913" s="3"/>
      <c r="W913" s="3"/>
      <c r="X913" s="3"/>
      <c r="Y913" s="3"/>
      <c r="Z913" s="3"/>
    </row>
    <row r="914" customFormat="false" ht="15.75" hidden="false" customHeight="true" outlineLevel="0" collapsed="false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2"/>
      <c r="S914" s="3"/>
      <c r="T914" s="3"/>
      <c r="U914" s="3"/>
      <c r="V914" s="3"/>
      <c r="W914" s="3"/>
      <c r="X914" s="3"/>
      <c r="Y914" s="3"/>
      <c r="Z914" s="3"/>
    </row>
    <row r="915" customFormat="false" ht="15.75" hidden="false" customHeight="true" outlineLevel="0" collapsed="false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2"/>
      <c r="S915" s="3"/>
      <c r="T915" s="3"/>
      <c r="U915" s="3"/>
      <c r="V915" s="3"/>
      <c r="W915" s="3"/>
      <c r="X915" s="3"/>
      <c r="Y915" s="3"/>
      <c r="Z915" s="3"/>
    </row>
    <row r="916" customFormat="false" ht="15.75" hidden="false" customHeight="true" outlineLevel="0" collapsed="false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2"/>
      <c r="S916" s="3"/>
      <c r="T916" s="3"/>
      <c r="U916" s="3"/>
      <c r="V916" s="3"/>
      <c r="W916" s="3"/>
      <c r="X916" s="3"/>
      <c r="Y916" s="3"/>
      <c r="Z916" s="3"/>
    </row>
    <row r="917" customFormat="false" ht="15.75" hidden="false" customHeight="true" outlineLevel="0" collapsed="false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2"/>
      <c r="S917" s="3"/>
      <c r="T917" s="3"/>
      <c r="U917" s="3"/>
      <c r="V917" s="3"/>
      <c r="W917" s="3"/>
      <c r="X917" s="3"/>
      <c r="Y917" s="3"/>
      <c r="Z917" s="3"/>
    </row>
    <row r="918" customFormat="false" ht="15.75" hidden="false" customHeight="true" outlineLevel="0" collapsed="false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2"/>
      <c r="S918" s="3"/>
      <c r="T918" s="3"/>
      <c r="U918" s="3"/>
      <c r="V918" s="3"/>
      <c r="W918" s="3"/>
      <c r="X918" s="3"/>
      <c r="Y918" s="3"/>
      <c r="Z918" s="3"/>
    </row>
    <row r="919" customFormat="false" ht="15.75" hidden="false" customHeight="true" outlineLevel="0" collapsed="false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2"/>
      <c r="S919" s="3"/>
      <c r="T919" s="3"/>
      <c r="U919" s="3"/>
      <c r="V919" s="3"/>
      <c r="W919" s="3"/>
      <c r="X919" s="3"/>
      <c r="Y919" s="3"/>
      <c r="Z919" s="3"/>
    </row>
    <row r="920" customFormat="false" ht="15.75" hidden="false" customHeight="true" outlineLevel="0" collapsed="false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2"/>
      <c r="S920" s="3"/>
      <c r="T920" s="3"/>
      <c r="U920" s="3"/>
      <c r="V920" s="3"/>
      <c r="W920" s="3"/>
      <c r="X920" s="3"/>
      <c r="Y920" s="3"/>
      <c r="Z920" s="3"/>
    </row>
    <row r="921" customFormat="false" ht="15.75" hidden="false" customHeight="true" outlineLevel="0" collapsed="false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2"/>
      <c r="S921" s="3"/>
      <c r="T921" s="3"/>
      <c r="U921" s="3"/>
      <c r="V921" s="3"/>
      <c r="W921" s="3"/>
      <c r="X921" s="3"/>
      <c r="Y921" s="3"/>
      <c r="Z921" s="3"/>
    </row>
    <row r="922" customFormat="false" ht="15.75" hidden="false" customHeight="true" outlineLevel="0" collapsed="false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2"/>
      <c r="S922" s="3"/>
      <c r="T922" s="3"/>
      <c r="U922" s="3"/>
      <c r="V922" s="3"/>
      <c r="W922" s="3"/>
      <c r="X922" s="3"/>
      <c r="Y922" s="3"/>
      <c r="Z922" s="3"/>
    </row>
    <row r="923" customFormat="false" ht="15.75" hidden="false" customHeight="true" outlineLevel="0" collapsed="false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2"/>
      <c r="S923" s="3"/>
      <c r="T923" s="3"/>
      <c r="U923" s="3"/>
      <c r="V923" s="3"/>
      <c r="W923" s="3"/>
      <c r="X923" s="3"/>
      <c r="Y923" s="3"/>
      <c r="Z923" s="3"/>
    </row>
    <row r="924" customFormat="false" ht="15.75" hidden="false" customHeight="true" outlineLevel="0" collapsed="false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2"/>
      <c r="S924" s="3"/>
      <c r="T924" s="3"/>
      <c r="U924" s="3"/>
      <c r="V924" s="3"/>
      <c r="W924" s="3"/>
      <c r="X924" s="3"/>
      <c r="Y924" s="3"/>
      <c r="Z924" s="3"/>
    </row>
    <row r="925" customFormat="false" ht="15.75" hidden="false" customHeight="true" outlineLevel="0" collapsed="false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2"/>
      <c r="S925" s="3"/>
      <c r="T925" s="3"/>
      <c r="U925" s="3"/>
      <c r="V925" s="3"/>
      <c r="W925" s="3"/>
      <c r="X925" s="3"/>
      <c r="Y925" s="3"/>
      <c r="Z925" s="3"/>
    </row>
    <row r="926" customFormat="false" ht="15.75" hidden="false" customHeight="true" outlineLevel="0" collapsed="false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2"/>
      <c r="S926" s="3"/>
      <c r="T926" s="3"/>
      <c r="U926" s="3"/>
      <c r="V926" s="3"/>
      <c r="W926" s="3"/>
      <c r="X926" s="3"/>
      <c r="Y926" s="3"/>
      <c r="Z926" s="3"/>
    </row>
    <row r="927" customFormat="false" ht="15.75" hidden="false" customHeight="true" outlineLevel="0" collapsed="false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2"/>
      <c r="S927" s="3"/>
      <c r="T927" s="3"/>
      <c r="U927" s="3"/>
      <c r="V927" s="3"/>
      <c r="W927" s="3"/>
      <c r="X927" s="3"/>
      <c r="Y927" s="3"/>
      <c r="Z927" s="3"/>
    </row>
    <row r="928" customFormat="false" ht="15.75" hidden="false" customHeight="true" outlineLevel="0" collapsed="false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2"/>
      <c r="S928" s="3"/>
      <c r="T928" s="3"/>
      <c r="U928" s="3"/>
      <c r="V928" s="3"/>
      <c r="W928" s="3"/>
      <c r="X928" s="3"/>
      <c r="Y928" s="3"/>
      <c r="Z928" s="3"/>
    </row>
    <row r="929" customFormat="false" ht="15.75" hidden="false" customHeight="true" outlineLevel="0" collapsed="false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2"/>
      <c r="S929" s="3"/>
      <c r="T929" s="3"/>
      <c r="U929" s="3"/>
      <c r="V929" s="3"/>
      <c r="W929" s="3"/>
      <c r="X929" s="3"/>
      <c r="Y929" s="3"/>
      <c r="Z929" s="3"/>
    </row>
    <row r="930" customFormat="false" ht="15.75" hidden="false" customHeight="true" outlineLevel="0" collapsed="false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2"/>
      <c r="S930" s="3"/>
      <c r="T930" s="3"/>
      <c r="U930" s="3"/>
      <c r="V930" s="3"/>
      <c r="W930" s="3"/>
      <c r="X930" s="3"/>
      <c r="Y930" s="3"/>
      <c r="Z930" s="3"/>
    </row>
    <row r="931" customFormat="false" ht="15.75" hidden="false" customHeight="true" outlineLevel="0" collapsed="false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2"/>
      <c r="S931" s="3"/>
      <c r="T931" s="3"/>
      <c r="U931" s="3"/>
      <c r="V931" s="3"/>
      <c r="W931" s="3"/>
      <c r="X931" s="3"/>
      <c r="Y931" s="3"/>
      <c r="Z931" s="3"/>
    </row>
    <row r="932" customFormat="false" ht="15.75" hidden="false" customHeight="true" outlineLevel="0" collapsed="false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2"/>
      <c r="S932" s="3"/>
      <c r="T932" s="3"/>
      <c r="U932" s="3"/>
      <c r="V932" s="3"/>
      <c r="W932" s="3"/>
      <c r="X932" s="3"/>
      <c r="Y932" s="3"/>
      <c r="Z932" s="3"/>
    </row>
    <row r="933" customFormat="false" ht="15.75" hidden="false" customHeight="true" outlineLevel="0" collapsed="false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2"/>
      <c r="S933" s="3"/>
      <c r="T933" s="3"/>
      <c r="U933" s="3"/>
      <c r="V933" s="3"/>
      <c r="W933" s="3"/>
      <c r="X933" s="3"/>
      <c r="Y933" s="3"/>
      <c r="Z933" s="3"/>
    </row>
    <row r="934" customFormat="false" ht="15.75" hidden="false" customHeight="true" outlineLevel="0" collapsed="false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2"/>
      <c r="S934" s="3"/>
      <c r="T934" s="3"/>
      <c r="U934" s="3"/>
      <c r="V934" s="3"/>
      <c r="W934" s="3"/>
      <c r="X934" s="3"/>
      <c r="Y934" s="3"/>
      <c r="Z934" s="3"/>
    </row>
    <row r="935" customFormat="false" ht="15.75" hidden="false" customHeight="true" outlineLevel="0" collapsed="false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2"/>
      <c r="S935" s="3"/>
      <c r="T935" s="3"/>
      <c r="U935" s="3"/>
      <c r="V935" s="3"/>
      <c r="W935" s="3"/>
      <c r="X935" s="3"/>
      <c r="Y935" s="3"/>
      <c r="Z935" s="3"/>
    </row>
    <row r="936" customFormat="false" ht="15.75" hidden="false" customHeight="true" outlineLevel="0" collapsed="false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2"/>
      <c r="S936" s="3"/>
      <c r="T936" s="3"/>
      <c r="U936" s="3"/>
      <c r="V936" s="3"/>
      <c r="W936" s="3"/>
      <c r="X936" s="3"/>
      <c r="Y936" s="3"/>
      <c r="Z936" s="3"/>
    </row>
    <row r="937" customFormat="false" ht="15.75" hidden="false" customHeight="true" outlineLevel="0" collapsed="false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2"/>
      <c r="S937" s="3"/>
      <c r="T937" s="3"/>
      <c r="U937" s="3"/>
      <c r="V937" s="3"/>
      <c r="W937" s="3"/>
      <c r="X937" s="3"/>
      <c r="Y937" s="3"/>
      <c r="Z937" s="3"/>
    </row>
    <row r="938" customFormat="false" ht="15.75" hidden="false" customHeight="true" outlineLevel="0" collapsed="false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2"/>
      <c r="S938" s="3"/>
      <c r="T938" s="3"/>
      <c r="U938" s="3"/>
      <c r="V938" s="3"/>
      <c r="W938" s="3"/>
      <c r="X938" s="3"/>
      <c r="Y938" s="3"/>
      <c r="Z938" s="3"/>
    </row>
    <row r="939" customFormat="false" ht="15.75" hidden="false" customHeight="true" outlineLevel="0" collapsed="false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2"/>
      <c r="S939" s="3"/>
      <c r="T939" s="3"/>
      <c r="U939" s="3"/>
      <c r="V939" s="3"/>
      <c r="W939" s="3"/>
      <c r="X939" s="3"/>
      <c r="Y939" s="3"/>
      <c r="Z939" s="3"/>
    </row>
    <row r="940" customFormat="false" ht="15.75" hidden="false" customHeight="true" outlineLevel="0" collapsed="false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2"/>
      <c r="S940" s="3"/>
      <c r="T940" s="3"/>
      <c r="U940" s="3"/>
      <c r="V940" s="3"/>
      <c r="W940" s="3"/>
      <c r="X940" s="3"/>
      <c r="Y940" s="3"/>
      <c r="Z940" s="3"/>
    </row>
    <row r="941" customFormat="false" ht="15.75" hidden="false" customHeight="true" outlineLevel="0" collapsed="false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2"/>
      <c r="S941" s="3"/>
      <c r="T941" s="3"/>
      <c r="U941" s="3"/>
      <c r="V941" s="3"/>
      <c r="W941" s="3"/>
      <c r="X941" s="3"/>
      <c r="Y941" s="3"/>
      <c r="Z941" s="3"/>
    </row>
    <row r="942" customFormat="false" ht="15.75" hidden="false" customHeight="true" outlineLevel="0" collapsed="false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2"/>
      <c r="S942" s="3"/>
      <c r="T942" s="3"/>
      <c r="U942" s="3"/>
      <c r="V942" s="3"/>
      <c r="W942" s="3"/>
      <c r="X942" s="3"/>
      <c r="Y942" s="3"/>
      <c r="Z942" s="3"/>
    </row>
    <row r="943" customFormat="false" ht="15.75" hidden="false" customHeight="true" outlineLevel="0" collapsed="false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2"/>
      <c r="S943" s="3"/>
      <c r="T943" s="3"/>
      <c r="U943" s="3"/>
      <c r="V943" s="3"/>
      <c r="W943" s="3"/>
      <c r="X943" s="3"/>
      <c r="Y943" s="3"/>
      <c r="Z943" s="3"/>
    </row>
    <row r="944" customFormat="false" ht="15.75" hidden="false" customHeight="true" outlineLevel="0" collapsed="false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2"/>
      <c r="S944" s="3"/>
      <c r="T944" s="3"/>
      <c r="U944" s="3"/>
      <c r="V944" s="3"/>
      <c r="W944" s="3"/>
      <c r="X944" s="3"/>
      <c r="Y944" s="3"/>
      <c r="Z944" s="3"/>
    </row>
    <row r="945" customFormat="false" ht="15.75" hidden="false" customHeight="true" outlineLevel="0" collapsed="false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2"/>
      <c r="S945" s="3"/>
      <c r="T945" s="3"/>
      <c r="U945" s="3"/>
      <c r="V945" s="3"/>
      <c r="W945" s="3"/>
      <c r="X945" s="3"/>
      <c r="Y945" s="3"/>
      <c r="Z945" s="3"/>
    </row>
    <row r="946" customFormat="false" ht="15.75" hidden="false" customHeight="true" outlineLevel="0" collapsed="false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2"/>
      <c r="S946" s="3"/>
      <c r="T946" s="3"/>
      <c r="U946" s="3"/>
      <c r="V946" s="3"/>
      <c r="W946" s="3"/>
      <c r="X946" s="3"/>
      <c r="Y946" s="3"/>
      <c r="Z946" s="3"/>
    </row>
    <row r="947" customFormat="false" ht="15.75" hidden="false" customHeight="true" outlineLevel="0" collapsed="false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2"/>
      <c r="S947" s="3"/>
      <c r="T947" s="3"/>
      <c r="U947" s="3"/>
      <c r="V947" s="3"/>
      <c r="W947" s="3"/>
      <c r="X947" s="3"/>
      <c r="Y947" s="3"/>
      <c r="Z947" s="3"/>
    </row>
    <row r="948" customFormat="false" ht="15.75" hidden="false" customHeight="true" outlineLevel="0" collapsed="false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2"/>
      <c r="S948" s="3"/>
      <c r="T948" s="3"/>
      <c r="U948" s="3"/>
      <c r="V948" s="3"/>
      <c r="W948" s="3"/>
      <c r="X948" s="3"/>
      <c r="Y948" s="3"/>
      <c r="Z948" s="3"/>
    </row>
    <row r="949" customFormat="false" ht="15.75" hidden="false" customHeight="true" outlineLevel="0" collapsed="false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2"/>
      <c r="S949" s="3"/>
      <c r="T949" s="3"/>
      <c r="U949" s="3"/>
      <c r="V949" s="3"/>
      <c r="W949" s="3"/>
      <c r="X949" s="3"/>
      <c r="Y949" s="3"/>
      <c r="Z949" s="3"/>
    </row>
    <row r="950" customFormat="false" ht="15.75" hidden="false" customHeight="true" outlineLevel="0" collapsed="false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2"/>
      <c r="S950" s="3"/>
      <c r="T950" s="3"/>
      <c r="U950" s="3"/>
      <c r="V950" s="3"/>
      <c r="W950" s="3"/>
      <c r="X950" s="3"/>
      <c r="Y950" s="3"/>
      <c r="Z950" s="3"/>
    </row>
    <row r="951" customFormat="false" ht="15.75" hidden="false" customHeight="true" outlineLevel="0" collapsed="false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2"/>
      <c r="S951" s="3"/>
      <c r="T951" s="3"/>
      <c r="U951" s="3"/>
      <c r="V951" s="3"/>
      <c r="W951" s="3"/>
      <c r="X951" s="3"/>
      <c r="Y951" s="3"/>
      <c r="Z951" s="3"/>
    </row>
    <row r="952" customFormat="false" ht="15.75" hidden="false" customHeight="true" outlineLevel="0" collapsed="false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2"/>
      <c r="S952" s="3"/>
      <c r="T952" s="3"/>
      <c r="U952" s="3"/>
      <c r="V952" s="3"/>
      <c r="W952" s="3"/>
      <c r="X952" s="3"/>
      <c r="Y952" s="3"/>
      <c r="Z952" s="3"/>
    </row>
    <row r="953" customFormat="false" ht="15.75" hidden="false" customHeight="true" outlineLevel="0" collapsed="false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2"/>
      <c r="S953" s="3"/>
      <c r="T953" s="3"/>
      <c r="U953" s="3"/>
      <c r="V953" s="3"/>
      <c r="W953" s="3"/>
      <c r="X953" s="3"/>
      <c r="Y953" s="3"/>
      <c r="Z953" s="3"/>
    </row>
    <row r="954" customFormat="false" ht="15.75" hidden="false" customHeight="true" outlineLevel="0" collapsed="false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2"/>
      <c r="S954" s="3"/>
      <c r="T954" s="3"/>
      <c r="U954" s="3"/>
      <c r="V954" s="3"/>
      <c r="W954" s="3"/>
      <c r="X954" s="3"/>
      <c r="Y954" s="3"/>
      <c r="Z954" s="3"/>
    </row>
    <row r="955" customFormat="false" ht="15.75" hidden="false" customHeight="true" outlineLevel="0" collapsed="false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2"/>
      <c r="S955" s="3"/>
      <c r="T955" s="3"/>
      <c r="U955" s="3"/>
      <c r="V955" s="3"/>
      <c r="W955" s="3"/>
      <c r="X955" s="3"/>
      <c r="Y955" s="3"/>
      <c r="Z955" s="3"/>
    </row>
    <row r="956" customFormat="false" ht="15.75" hidden="false" customHeight="true" outlineLevel="0" collapsed="false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2"/>
      <c r="S956" s="3"/>
      <c r="T956" s="3"/>
      <c r="U956" s="3"/>
      <c r="V956" s="3"/>
      <c r="W956" s="3"/>
      <c r="X956" s="3"/>
      <c r="Y956" s="3"/>
      <c r="Z956" s="3"/>
    </row>
    <row r="957" customFormat="false" ht="15.75" hidden="false" customHeight="true" outlineLevel="0" collapsed="false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2"/>
      <c r="S957" s="3"/>
      <c r="T957" s="3"/>
      <c r="U957" s="3"/>
      <c r="V957" s="3"/>
      <c r="W957" s="3"/>
      <c r="X957" s="3"/>
      <c r="Y957" s="3"/>
      <c r="Z957" s="3"/>
    </row>
    <row r="958" customFormat="false" ht="15.75" hidden="false" customHeight="true" outlineLevel="0" collapsed="false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2"/>
      <c r="S958" s="3"/>
      <c r="T958" s="3"/>
      <c r="U958" s="3"/>
      <c r="V958" s="3"/>
      <c r="W958" s="3"/>
      <c r="X958" s="3"/>
      <c r="Y958" s="3"/>
      <c r="Z958" s="3"/>
    </row>
    <row r="959" customFormat="false" ht="15.75" hidden="false" customHeight="true" outlineLevel="0" collapsed="false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2"/>
      <c r="S959" s="3"/>
      <c r="T959" s="3"/>
      <c r="U959" s="3"/>
      <c r="V959" s="3"/>
      <c r="W959" s="3"/>
      <c r="X959" s="3"/>
      <c r="Y959" s="3"/>
      <c r="Z959" s="3"/>
    </row>
    <row r="960" customFormat="false" ht="15.75" hidden="false" customHeight="true" outlineLevel="0" collapsed="false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2"/>
      <c r="S960" s="3"/>
      <c r="T960" s="3"/>
      <c r="U960" s="3"/>
      <c r="V960" s="3"/>
      <c r="W960" s="3"/>
      <c r="X960" s="3"/>
      <c r="Y960" s="3"/>
      <c r="Z960" s="3"/>
    </row>
    <row r="961" customFormat="false" ht="15.75" hidden="false" customHeight="true" outlineLevel="0" collapsed="false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2"/>
      <c r="S961" s="3"/>
      <c r="T961" s="3"/>
      <c r="U961" s="3"/>
      <c r="V961" s="3"/>
      <c r="W961" s="3"/>
      <c r="X961" s="3"/>
      <c r="Y961" s="3"/>
      <c r="Z961" s="3"/>
    </row>
    <row r="962" customFormat="false" ht="15.75" hidden="false" customHeight="true" outlineLevel="0" collapsed="false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2"/>
      <c r="S962" s="3"/>
      <c r="T962" s="3"/>
      <c r="U962" s="3"/>
      <c r="V962" s="3"/>
      <c r="W962" s="3"/>
      <c r="X962" s="3"/>
      <c r="Y962" s="3"/>
      <c r="Z962" s="3"/>
    </row>
    <row r="963" customFormat="false" ht="15.75" hidden="false" customHeight="true" outlineLevel="0" collapsed="false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2"/>
      <c r="S963" s="3"/>
      <c r="T963" s="3"/>
      <c r="U963" s="3"/>
      <c r="V963" s="3"/>
      <c r="W963" s="3"/>
      <c r="X963" s="3"/>
      <c r="Y963" s="3"/>
      <c r="Z963" s="3"/>
    </row>
    <row r="964" customFormat="false" ht="15.75" hidden="false" customHeight="true" outlineLevel="0" collapsed="false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2"/>
      <c r="S964" s="3"/>
      <c r="T964" s="3"/>
      <c r="U964" s="3"/>
      <c r="V964" s="3"/>
      <c r="W964" s="3"/>
      <c r="X964" s="3"/>
      <c r="Y964" s="3"/>
      <c r="Z964" s="3"/>
    </row>
    <row r="965" customFormat="false" ht="15.75" hidden="false" customHeight="true" outlineLevel="0" collapsed="false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2"/>
      <c r="S965" s="3"/>
      <c r="T965" s="3"/>
      <c r="U965" s="3"/>
      <c r="V965" s="3"/>
      <c r="W965" s="3"/>
      <c r="X965" s="3"/>
      <c r="Y965" s="3"/>
      <c r="Z965" s="3"/>
    </row>
    <row r="966" customFormat="false" ht="15.75" hidden="false" customHeight="true" outlineLevel="0" collapsed="false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2"/>
      <c r="S966" s="3"/>
      <c r="T966" s="3"/>
      <c r="U966" s="3"/>
      <c r="V966" s="3"/>
      <c r="W966" s="3"/>
      <c r="X966" s="3"/>
      <c r="Y966" s="3"/>
      <c r="Z966" s="3"/>
    </row>
    <row r="967" customFormat="false" ht="15.75" hidden="false" customHeight="true" outlineLevel="0" collapsed="false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2"/>
      <c r="S967" s="3"/>
      <c r="T967" s="3"/>
      <c r="U967" s="3"/>
      <c r="V967" s="3"/>
      <c r="W967" s="3"/>
      <c r="X967" s="3"/>
      <c r="Y967" s="3"/>
      <c r="Z967" s="3"/>
    </row>
    <row r="968" customFormat="false" ht="15.75" hidden="false" customHeight="true" outlineLevel="0" collapsed="false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2"/>
      <c r="S968" s="3"/>
      <c r="T968" s="3"/>
      <c r="U968" s="3"/>
      <c r="V968" s="3"/>
      <c r="W968" s="3"/>
      <c r="X968" s="3"/>
      <c r="Y968" s="3"/>
      <c r="Z968" s="3"/>
    </row>
    <row r="969" customFormat="false" ht="15.75" hidden="false" customHeight="true" outlineLevel="0" collapsed="false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2"/>
      <c r="S969" s="3"/>
      <c r="T969" s="3"/>
      <c r="U969" s="3"/>
      <c r="V969" s="3"/>
      <c r="W969" s="3"/>
      <c r="X969" s="3"/>
      <c r="Y969" s="3"/>
      <c r="Z969" s="3"/>
    </row>
    <row r="970" customFormat="false" ht="15.75" hidden="false" customHeight="true" outlineLevel="0" collapsed="false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2"/>
      <c r="S970" s="3"/>
      <c r="T970" s="3"/>
      <c r="U970" s="3"/>
      <c r="V970" s="3"/>
      <c r="W970" s="3"/>
      <c r="X970" s="3"/>
      <c r="Y970" s="3"/>
      <c r="Z970" s="3"/>
    </row>
    <row r="971" customFormat="false" ht="15.75" hidden="false" customHeight="true" outlineLevel="0" collapsed="false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2"/>
      <c r="S971" s="3"/>
      <c r="T971" s="3"/>
      <c r="U971" s="3"/>
      <c r="V971" s="3"/>
      <c r="W971" s="3"/>
      <c r="X971" s="3"/>
      <c r="Y971" s="3"/>
      <c r="Z971" s="3"/>
    </row>
    <row r="972" customFormat="false" ht="15.75" hidden="false" customHeight="true" outlineLevel="0" collapsed="false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2"/>
      <c r="S972" s="3"/>
      <c r="T972" s="3"/>
      <c r="U972" s="3"/>
      <c r="V972" s="3"/>
      <c r="W972" s="3"/>
      <c r="X972" s="3"/>
      <c r="Y972" s="3"/>
      <c r="Z972" s="3"/>
    </row>
    <row r="973" customFormat="false" ht="15.75" hidden="false" customHeight="true" outlineLevel="0" collapsed="false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2"/>
      <c r="S973" s="3"/>
      <c r="T973" s="3"/>
      <c r="U973" s="3"/>
      <c r="V973" s="3"/>
      <c r="W973" s="3"/>
      <c r="X973" s="3"/>
      <c r="Y973" s="3"/>
      <c r="Z973" s="3"/>
    </row>
    <row r="974" customFormat="false" ht="15.75" hidden="false" customHeight="true" outlineLevel="0" collapsed="false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2"/>
      <c r="S974" s="3"/>
      <c r="T974" s="3"/>
      <c r="U974" s="3"/>
      <c r="V974" s="3"/>
      <c r="W974" s="3"/>
      <c r="X974" s="3"/>
      <c r="Y974" s="3"/>
      <c r="Z974" s="3"/>
    </row>
    <row r="975" customFormat="false" ht="15.75" hidden="false" customHeight="true" outlineLevel="0" collapsed="false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2"/>
      <c r="S975" s="3"/>
      <c r="T975" s="3"/>
      <c r="U975" s="3"/>
      <c r="V975" s="3"/>
      <c r="W975" s="3"/>
      <c r="X975" s="3"/>
      <c r="Y975" s="3"/>
      <c r="Z975" s="3"/>
    </row>
    <row r="976" customFormat="false" ht="15.75" hidden="false" customHeight="true" outlineLevel="0" collapsed="false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2"/>
      <c r="S976" s="3"/>
      <c r="T976" s="3"/>
      <c r="U976" s="3"/>
      <c r="V976" s="3"/>
      <c r="W976" s="3"/>
      <c r="X976" s="3"/>
      <c r="Y976" s="3"/>
      <c r="Z976" s="3"/>
    </row>
    <row r="977" customFormat="false" ht="15.75" hidden="false" customHeight="true" outlineLevel="0" collapsed="false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2"/>
      <c r="S977" s="3"/>
      <c r="T977" s="3"/>
      <c r="U977" s="3"/>
      <c r="V977" s="3"/>
      <c r="W977" s="3"/>
      <c r="X977" s="3"/>
      <c r="Y977" s="3"/>
      <c r="Z977" s="3"/>
    </row>
    <row r="978" customFormat="false" ht="15.75" hidden="false" customHeight="true" outlineLevel="0" collapsed="false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2"/>
      <c r="S978" s="3"/>
      <c r="T978" s="3"/>
      <c r="U978" s="3"/>
      <c r="V978" s="3"/>
      <c r="W978" s="3"/>
      <c r="X978" s="3"/>
      <c r="Y978" s="3"/>
      <c r="Z978" s="3"/>
    </row>
    <row r="979" customFormat="false" ht="15.75" hidden="false" customHeight="true" outlineLevel="0" collapsed="false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2"/>
      <c r="S979" s="3"/>
      <c r="T979" s="3"/>
      <c r="U979" s="3"/>
      <c r="V979" s="3"/>
      <c r="W979" s="3"/>
      <c r="X979" s="3"/>
      <c r="Y979" s="3"/>
      <c r="Z979" s="3"/>
    </row>
    <row r="980" customFormat="false" ht="15.75" hidden="false" customHeight="true" outlineLevel="0" collapsed="false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2"/>
      <c r="S980" s="3"/>
      <c r="T980" s="3"/>
      <c r="U980" s="3"/>
      <c r="V980" s="3"/>
      <c r="W980" s="3"/>
      <c r="X980" s="3"/>
      <c r="Y980" s="3"/>
      <c r="Z980" s="3"/>
    </row>
    <row r="981" customFormat="false" ht="15.75" hidden="false" customHeight="true" outlineLevel="0" collapsed="false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2"/>
      <c r="S981" s="3"/>
      <c r="T981" s="3"/>
      <c r="U981" s="3"/>
      <c r="V981" s="3"/>
      <c r="W981" s="3"/>
      <c r="X981" s="3"/>
      <c r="Y981" s="3"/>
      <c r="Z981" s="3"/>
    </row>
    <row r="982" customFormat="false" ht="15.75" hidden="false" customHeight="true" outlineLevel="0" collapsed="false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2"/>
      <c r="S982" s="3"/>
      <c r="T982" s="3"/>
      <c r="U982" s="3"/>
      <c r="V982" s="3"/>
      <c r="W982" s="3"/>
      <c r="X982" s="3"/>
      <c r="Y982" s="3"/>
      <c r="Z982" s="3"/>
    </row>
    <row r="983" customFormat="false" ht="15.75" hidden="false" customHeight="true" outlineLevel="0" collapsed="false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2"/>
      <c r="S983" s="3"/>
      <c r="T983" s="3"/>
      <c r="U983" s="3"/>
      <c r="V983" s="3"/>
      <c r="W983" s="3"/>
      <c r="X983" s="3"/>
      <c r="Y983" s="3"/>
      <c r="Z983" s="3"/>
    </row>
    <row r="984" customFormat="false" ht="15.75" hidden="false" customHeight="true" outlineLevel="0" collapsed="false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2"/>
      <c r="S984" s="3"/>
      <c r="T984" s="3"/>
      <c r="U984" s="3"/>
      <c r="V984" s="3"/>
      <c r="W984" s="3"/>
      <c r="X984" s="3"/>
      <c r="Y984" s="3"/>
      <c r="Z984" s="3"/>
    </row>
    <row r="985" customFormat="false" ht="15.75" hidden="false" customHeight="true" outlineLevel="0" collapsed="false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2"/>
      <c r="S985" s="3"/>
      <c r="T985" s="3"/>
      <c r="U985" s="3"/>
      <c r="V985" s="3"/>
      <c r="W985" s="3"/>
      <c r="X985" s="3"/>
      <c r="Y985" s="3"/>
      <c r="Z985" s="3"/>
    </row>
    <row r="986" customFormat="false" ht="15.75" hidden="false" customHeight="true" outlineLevel="0" collapsed="false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2"/>
      <c r="S986" s="3"/>
      <c r="T986" s="3"/>
      <c r="U986" s="3"/>
      <c r="V986" s="3"/>
      <c r="W986" s="3"/>
      <c r="X986" s="3"/>
      <c r="Y986" s="3"/>
      <c r="Z986" s="3"/>
    </row>
    <row r="987" customFormat="false" ht="15.75" hidden="false" customHeight="true" outlineLevel="0" collapsed="false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2"/>
      <c r="S987" s="3"/>
      <c r="T987" s="3"/>
      <c r="U987" s="3"/>
      <c r="V987" s="3"/>
      <c r="W987" s="3"/>
      <c r="X987" s="3"/>
      <c r="Y987" s="3"/>
      <c r="Z987" s="3"/>
    </row>
    <row r="988" customFormat="false" ht="15.75" hidden="false" customHeight="true" outlineLevel="0" collapsed="false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2"/>
      <c r="S988" s="3"/>
      <c r="T988" s="3"/>
      <c r="U988" s="3"/>
      <c r="V988" s="3"/>
      <c r="W988" s="3"/>
      <c r="X988" s="3"/>
      <c r="Y988" s="3"/>
      <c r="Z988" s="3"/>
    </row>
    <row r="989" customFormat="false" ht="15.75" hidden="false" customHeight="true" outlineLevel="0" collapsed="false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2"/>
      <c r="S989" s="3"/>
      <c r="T989" s="3"/>
      <c r="U989" s="3"/>
      <c r="V989" s="3"/>
      <c r="W989" s="3"/>
      <c r="X989" s="3"/>
      <c r="Y989" s="3"/>
      <c r="Z989" s="3"/>
    </row>
    <row r="990" customFormat="false" ht="15.75" hidden="false" customHeight="true" outlineLevel="0" collapsed="false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2"/>
      <c r="S990" s="3"/>
      <c r="T990" s="3"/>
      <c r="U990" s="3"/>
      <c r="V990" s="3"/>
      <c r="W990" s="3"/>
      <c r="X990" s="3"/>
      <c r="Y990" s="3"/>
      <c r="Z990" s="3"/>
    </row>
    <row r="991" customFormat="false" ht="15.75" hidden="false" customHeight="true" outlineLevel="0" collapsed="false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2"/>
      <c r="S991" s="3"/>
      <c r="T991" s="3"/>
      <c r="U991" s="3"/>
      <c r="V991" s="3"/>
      <c r="W991" s="3"/>
      <c r="X991" s="3"/>
      <c r="Y991" s="3"/>
      <c r="Z991" s="3"/>
    </row>
    <row r="992" customFormat="false" ht="15.75" hidden="false" customHeight="true" outlineLevel="0" collapsed="false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2"/>
      <c r="S992" s="3"/>
      <c r="T992" s="3"/>
      <c r="U992" s="3"/>
      <c r="V992" s="3"/>
      <c r="W992" s="3"/>
      <c r="X992" s="3"/>
      <c r="Y992" s="3"/>
      <c r="Z992" s="3"/>
    </row>
    <row r="993" customFormat="false" ht="15.75" hidden="false" customHeight="true" outlineLevel="0" collapsed="false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2"/>
      <c r="S993" s="3"/>
      <c r="T993" s="3"/>
      <c r="U993" s="3"/>
      <c r="V993" s="3"/>
      <c r="W993" s="3"/>
      <c r="X993" s="3"/>
      <c r="Y993" s="3"/>
      <c r="Z993" s="3"/>
    </row>
    <row r="994" customFormat="false" ht="15.75" hidden="false" customHeight="true" outlineLevel="0" collapsed="false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2"/>
      <c r="S994" s="3"/>
      <c r="T994" s="3"/>
      <c r="U994" s="3"/>
      <c r="V994" s="3"/>
      <c r="W994" s="3"/>
      <c r="X994" s="3"/>
      <c r="Y994" s="3"/>
      <c r="Z994" s="3"/>
    </row>
    <row r="995" customFormat="false" ht="15.75" hidden="false" customHeight="true" outlineLevel="0" collapsed="false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2"/>
      <c r="S995" s="3"/>
      <c r="T995" s="3"/>
      <c r="U995" s="3"/>
      <c r="V995" s="3"/>
      <c r="W995" s="3"/>
      <c r="X995" s="3"/>
      <c r="Y995" s="3"/>
      <c r="Z995" s="3"/>
    </row>
    <row r="996" customFormat="false" ht="15.75" hidden="false" customHeight="true" outlineLevel="0" collapsed="false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2"/>
      <c r="S996" s="3"/>
      <c r="T996" s="3"/>
      <c r="U996" s="3"/>
      <c r="V996" s="3"/>
      <c r="W996" s="3"/>
      <c r="X996" s="3"/>
      <c r="Y996" s="3"/>
      <c r="Z996" s="3"/>
    </row>
    <row r="997" customFormat="false" ht="15.75" hidden="false" customHeight="true" outlineLevel="0" collapsed="false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2"/>
      <c r="S997" s="3"/>
      <c r="T997" s="3"/>
      <c r="U997" s="3"/>
      <c r="V997" s="3"/>
      <c r="W997" s="3"/>
      <c r="X997" s="3"/>
      <c r="Y997" s="3"/>
      <c r="Z997" s="3"/>
    </row>
    <row r="998" customFormat="false" ht="15.75" hidden="false" customHeight="true" outlineLevel="0" collapsed="false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2"/>
      <c r="S998" s="3"/>
      <c r="T998" s="3"/>
      <c r="U998" s="3"/>
      <c r="V998" s="3"/>
      <c r="W998" s="3"/>
      <c r="X998" s="3"/>
      <c r="Y998" s="3"/>
      <c r="Z998" s="3"/>
    </row>
    <row r="999" customFormat="false" ht="15.75" hidden="false" customHeight="true" outlineLevel="0" collapsed="false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2"/>
      <c r="S999" s="3"/>
      <c r="T999" s="3"/>
      <c r="U999" s="3"/>
      <c r="V999" s="3"/>
      <c r="W999" s="3"/>
      <c r="X999" s="3"/>
      <c r="Y999" s="3"/>
      <c r="Z999" s="3"/>
    </row>
    <row r="1000" customFormat="false" ht="15.75" hidden="false" customHeight="true" outlineLevel="0" collapsed="false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2"/>
      <c r="S1000" s="3"/>
      <c r="T1000" s="3"/>
      <c r="U1000" s="3"/>
      <c r="V1000" s="3"/>
      <c r="W1000" s="3"/>
      <c r="X1000" s="3"/>
      <c r="Y1000" s="3"/>
      <c r="Z1000" s="3"/>
    </row>
    <row r="1001" customFormat="false" ht="15.75" hidden="false" customHeight="true" outlineLevel="0" collapsed="false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2"/>
      <c r="S1001" s="3"/>
      <c r="T1001" s="3"/>
      <c r="U1001" s="3"/>
      <c r="V1001" s="3"/>
      <c r="W1001" s="3"/>
      <c r="X1001" s="3"/>
      <c r="Y1001" s="3"/>
      <c r="Z1001" s="3"/>
    </row>
    <row r="1002" customFormat="false" ht="15.75" hidden="false" customHeight="true" outlineLevel="0" collapsed="false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2"/>
      <c r="S1002" s="3"/>
      <c r="T1002" s="3"/>
      <c r="U1002" s="3"/>
      <c r="V1002" s="3"/>
      <c r="W1002" s="3"/>
      <c r="X1002" s="3"/>
      <c r="Y1002" s="3"/>
      <c r="Z1002" s="3"/>
    </row>
    <row r="1003" customFormat="false" ht="15.75" hidden="false" customHeight="true" outlineLevel="0" collapsed="false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2"/>
      <c r="S1003" s="3"/>
      <c r="T1003" s="3"/>
      <c r="U1003" s="3"/>
      <c r="V1003" s="3"/>
      <c r="W1003" s="3"/>
      <c r="X1003" s="3"/>
      <c r="Y1003" s="3"/>
      <c r="Z1003" s="3"/>
    </row>
    <row r="1004" customFormat="false" ht="15.75" hidden="false" customHeight="true" outlineLevel="0" collapsed="false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2"/>
      <c r="S1004" s="3"/>
      <c r="T1004" s="3"/>
      <c r="U1004" s="3"/>
      <c r="V1004" s="3"/>
      <c r="W1004" s="3"/>
      <c r="X1004" s="3"/>
      <c r="Y1004" s="3"/>
      <c r="Z1004" s="3"/>
    </row>
    <row r="1005" customFormat="false" ht="15.75" hidden="false" customHeight="true" outlineLevel="0" collapsed="false">
      <c r="A1005" s="3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2"/>
      <c r="S1005" s="3"/>
      <c r="T1005" s="3"/>
      <c r="U1005" s="3"/>
      <c r="V1005" s="3"/>
      <c r="W1005" s="3"/>
      <c r="X1005" s="3"/>
      <c r="Y1005" s="3"/>
      <c r="Z1005" s="3"/>
    </row>
    <row r="1006" customFormat="false" ht="15.75" hidden="false" customHeight="true" outlineLevel="0" collapsed="false">
      <c r="A1006" s="3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2"/>
      <c r="S1006" s="3"/>
      <c r="T1006" s="3"/>
      <c r="U1006" s="3"/>
      <c r="V1006" s="3"/>
      <c r="W1006" s="3"/>
      <c r="X1006" s="3"/>
      <c r="Y1006" s="3"/>
      <c r="Z1006" s="3"/>
    </row>
    <row r="1007" customFormat="false" ht="15.75" hidden="false" customHeight="true" outlineLevel="0" collapsed="false">
      <c r="A1007" s="3"/>
      <c r="B1007" s="3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2"/>
      <c r="S1007" s="3"/>
      <c r="T1007" s="3"/>
      <c r="U1007" s="3"/>
      <c r="V1007" s="3"/>
      <c r="W1007" s="3"/>
      <c r="X1007" s="3"/>
      <c r="Y1007" s="3"/>
      <c r="Z1007" s="3"/>
    </row>
    <row r="1008" customFormat="false" ht="15.75" hidden="false" customHeight="true" outlineLevel="0" collapsed="false">
      <c r="A1008" s="3"/>
      <c r="B1008" s="3"/>
      <c r="C1008" s="3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2"/>
      <c r="S1008" s="3"/>
      <c r="T1008" s="3"/>
      <c r="U1008" s="3"/>
      <c r="V1008" s="3"/>
      <c r="W1008" s="3"/>
      <c r="X1008" s="3"/>
      <c r="Y1008" s="3"/>
      <c r="Z1008" s="3"/>
    </row>
    <row r="1009" customFormat="false" ht="15.75" hidden="false" customHeight="true" outlineLevel="0" collapsed="false">
      <c r="A1009" s="3"/>
      <c r="B1009" s="3"/>
      <c r="C1009" s="3"/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2"/>
      <c r="S1009" s="3"/>
      <c r="T1009" s="3"/>
      <c r="U1009" s="3"/>
      <c r="V1009" s="3"/>
      <c r="W1009" s="3"/>
      <c r="X1009" s="3"/>
      <c r="Y1009" s="3"/>
      <c r="Z1009" s="3"/>
    </row>
    <row r="1010" customFormat="false" ht="15.75" hidden="false" customHeight="true" outlineLevel="0" collapsed="false">
      <c r="A1010" s="3"/>
      <c r="B1010" s="3"/>
      <c r="C1010" s="3"/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2"/>
      <c r="S1010" s="3"/>
      <c r="T1010" s="3"/>
      <c r="U1010" s="3"/>
      <c r="V1010" s="3"/>
      <c r="W1010" s="3"/>
      <c r="X1010" s="3"/>
      <c r="Y1010" s="3"/>
      <c r="Z1010" s="3"/>
    </row>
    <row r="1011" customFormat="false" ht="15.75" hidden="false" customHeight="true" outlineLevel="0" collapsed="false">
      <c r="A1011" s="3"/>
      <c r="B1011" s="3"/>
      <c r="C1011" s="3"/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2"/>
      <c r="S1011" s="3"/>
      <c r="T1011" s="3"/>
      <c r="U1011" s="3"/>
      <c r="V1011" s="3"/>
      <c r="W1011" s="3"/>
      <c r="X1011" s="3"/>
      <c r="Y1011" s="3"/>
      <c r="Z1011" s="3"/>
    </row>
    <row r="1012" customFormat="false" ht="15.75" hidden="false" customHeight="true" outlineLevel="0" collapsed="false">
      <c r="A1012" s="3"/>
      <c r="B1012" s="3"/>
      <c r="C1012" s="3"/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2"/>
      <c r="S1012" s="3"/>
      <c r="T1012" s="3"/>
      <c r="U1012" s="3"/>
      <c r="V1012" s="3"/>
      <c r="W1012" s="3"/>
      <c r="X1012" s="3"/>
      <c r="Y1012" s="3"/>
      <c r="Z1012" s="3"/>
    </row>
    <row r="1013" customFormat="false" ht="15.75" hidden="false" customHeight="true" outlineLevel="0" collapsed="false">
      <c r="A1013" s="3"/>
      <c r="B1013" s="3"/>
      <c r="C1013" s="3"/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2"/>
      <c r="S1013" s="3"/>
      <c r="T1013" s="3"/>
      <c r="U1013" s="3"/>
      <c r="V1013" s="3"/>
      <c r="W1013" s="3"/>
      <c r="X1013" s="3"/>
      <c r="Y1013" s="3"/>
      <c r="Z1013" s="3"/>
    </row>
    <row r="1014" customFormat="false" ht="15.75" hidden="false" customHeight="true" outlineLevel="0" collapsed="false">
      <c r="A1014" s="3"/>
      <c r="B1014" s="3"/>
      <c r="C1014" s="3"/>
      <c r="D1014" s="3"/>
      <c r="E1014" s="3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2"/>
      <c r="S1014" s="3"/>
      <c r="T1014" s="3"/>
      <c r="U1014" s="3"/>
      <c r="V1014" s="3"/>
      <c r="W1014" s="3"/>
      <c r="X1014" s="3"/>
      <c r="Y1014" s="3"/>
      <c r="Z1014" s="3"/>
    </row>
    <row r="1015" customFormat="false" ht="15.75" hidden="false" customHeight="true" outlineLevel="0" collapsed="false">
      <c r="A1015" s="3"/>
      <c r="B1015" s="3"/>
      <c r="C1015" s="3"/>
      <c r="D1015" s="3"/>
      <c r="E1015" s="3"/>
      <c r="F1015" s="3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2"/>
      <c r="S1015" s="3"/>
      <c r="T1015" s="3"/>
      <c r="U1015" s="3"/>
      <c r="V1015" s="3"/>
      <c r="W1015" s="3"/>
      <c r="X1015" s="3"/>
      <c r="Y1015" s="3"/>
      <c r="Z1015" s="3"/>
    </row>
    <row r="1016" customFormat="false" ht="15.75" hidden="false" customHeight="true" outlineLevel="0" collapsed="false">
      <c r="A1016" s="3"/>
      <c r="B1016" s="3"/>
      <c r="C1016" s="3"/>
      <c r="D1016" s="3"/>
      <c r="E1016" s="3"/>
      <c r="F1016" s="3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2"/>
      <c r="S1016" s="3"/>
      <c r="T1016" s="3"/>
      <c r="U1016" s="3"/>
      <c r="V1016" s="3"/>
      <c r="W1016" s="3"/>
      <c r="X1016" s="3"/>
      <c r="Y1016" s="3"/>
      <c r="Z1016" s="3"/>
    </row>
    <row r="1017" customFormat="false" ht="15.75" hidden="false" customHeight="true" outlineLevel="0" collapsed="false">
      <c r="A1017" s="3"/>
      <c r="B1017" s="3"/>
      <c r="C1017" s="3"/>
      <c r="D1017" s="3"/>
      <c r="E1017" s="3"/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2"/>
      <c r="S1017" s="3"/>
      <c r="T1017" s="3"/>
      <c r="U1017" s="3"/>
      <c r="V1017" s="3"/>
      <c r="W1017" s="3"/>
      <c r="X1017" s="3"/>
      <c r="Y1017" s="3"/>
      <c r="Z1017" s="3"/>
    </row>
    <row r="1018" customFormat="false" ht="15.75" hidden="false" customHeight="true" outlineLevel="0" collapsed="false">
      <c r="A1018" s="3"/>
      <c r="B1018" s="3"/>
      <c r="C1018" s="3"/>
      <c r="D1018" s="3"/>
      <c r="E1018" s="3"/>
      <c r="F1018" s="3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2"/>
      <c r="S1018" s="3"/>
      <c r="T1018" s="3"/>
      <c r="U1018" s="3"/>
      <c r="V1018" s="3"/>
      <c r="W1018" s="3"/>
      <c r="X1018" s="3"/>
      <c r="Y1018" s="3"/>
      <c r="Z1018" s="3"/>
    </row>
    <row r="1019" customFormat="false" ht="15.75" hidden="false" customHeight="true" outlineLevel="0" collapsed="false">
      <c r="A1019" s="3"/>
      <c r="B1019" s="3"/>
      <c r="C1019" s="3"/>
      <c r="D1019" s="3"/>
      <c r="E1019" s="3"/>
      <c r="F1019" s="3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2"/>
      <c r="S1019" s="3"/>
      <c r="T1019" s="3"/>
      <c r="U1019" s="3"/>
      <c r="V1019" s="3"/>
      <c r="W1019" s="3"/>
      <c r="X1019" s="3"/>
      <c r="Y1019" s="3"/>
      <c r="Z1019" s="3"/>
    </row>
    <row r="1020" customFormat="false" ht="15.75" hidden="false" customHeight="true" outlineLevel="0" collapsed="false">
      <c r="A1020" s="3"/>
      <c r="B1020" s="3"/>
      <c r="C1020" s="3"/>
      <c r="D1020" s="3"/>
      <c r="E1020" s="3"/>
      <c r="F1020" s="3"/>
      <c r="G1020" s="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2"/>
      <c r="S1020" s="3"/>
      <c r="T1020" s="3"/>
      <c r="U1020" s="3"/>
      <c r="V1020" s="3"/>
      <c r="W1020" s="3"/>
      <c r="X1020" s="3"/>
      <c r="Y1020" s="3"/>
      <c r="Z1020" s="3"/>
    </row>
    <row r="1021" customFormat="false" ht="15.75" hidden="false" customHeight="true" outlineLevel="0" collapsed="false">
      <c r="A1021" s="3"/>
      <c r="B1021" s="3"/>
      <c r="C1021" s="3"/>
      <c r="D1021" s="3"/>
      <c r="E1021" s="3"/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2"/>
      <c r="S1021" s="3"/>
      <c r="T1021" s="3"/>
      <c r="U1021" s="3"/>
      <c r="V1021" s="3"/>
      <c r="W1021" s="3"/>
      <c r="X1021" s="3"/>
      <c r="Y1021" s="3"/>
      <c r="Z1021" s="3"/>
    </row>
    <row r="1022" customFormat="false" ht="15.75" hidden="false" customHeight="true" outlineLevel="0" collapsed="false">
      <c r="A1022" s="3"/>
      <c r="B1022" s="3"/>
      <c r="C1022" s="3"/>
      <c r="D1022" s="3"/>
      <c r="E1022" s="3"/>
      <c r="F1022" s="3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2"/>
      <c r="S1022" s="3"/>
      <c r="T1022" s="3"/>
      <c r="U1022" s="3"/>
      <c r="V1022" s="3"/>
      <c r="W1022" s="3"/>
      <c r="X1022" s="3"/>
      <c r="Y1022" s="3"/>
      <c r="Z1022" s="3"/>
    </row>
    <row r="1023" customFormat="false" ht="15.75" hidden="false" customHeight="true" outlineLevel="0" collapsed="false">
      <c r="A1023" s="3"/>
      <c r="B1023" s="3"/>
      <c r="C1023" s="3"/>
      <c r="D1023" s="3"/>
      <c r="E1023" s="3"/>
      <c r="F1023" s="3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2"/>
      <c r="S1023" s="3"/>
      <c r="T1023" s="3"/>
      <c r="U1023" s="3"/>
      <c r="V1023" s="3"/>
      <c r="W1023" s="3"/>
      <c r="X1023" s="3"/>
      <c r="Y1023" s="3"/>
      <c r="Z1023" s="3"/>
    </row>
    <row r="1024" customFormat="false" ht="15.75" hidden="false" customHeight="true" outlineLevel="0" collapsed="false">
      <c r="A1024" s="3"/>
      <c r="B1024" s="3"/>
      <c r="C1024" s="3"/>
      <c r="D1024" s="3"/>
      <c r="E1024" s="3"/>
      <c r="F1024" s="3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2"/>
      <c r="S1024" s="3"/>
      <c r="T1024" s="3"/>
      <c r="U1024" s="3"/>
      <c r="V1024" s="3"/>
      <c r="W1024" s="3"/>
      <c r="X1024" s="3"/>
      <c r="Y1024" s="3"/>
      <c r="Z1024" s="3"/>
    </row>
    <row r="1025" customFormat="false" ht="15.75" hidden="false" customHeight="true" outlineLevel="0" collapsed="false">
      <c r="A1025" s="3"/>
      <c r="B1025" s="3"/>
      <c r="C1025" s="3"/>
      <c r="D1025" s="3"/>
      <c r="E1025" s="3"/>
      <c r="F1025" s="3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2"/>
      <c r="S1025" s="3"/>
      <c r="T1025" s="3"/>
      <c r="U1025" s="3"/>
      <c r="V1025" s="3"/>
      <c r="W1025" s="3"/>
      <c r="X1025" s="3"/>
      <c r="Y1025" s="3"/>
      <c r="Z1025" s="3"/>
    </row>
    <row r="1026" customFormat="false" ht="15.75" hidden="false" customHeight="true" outlineLevel="0" collapsed="false">
      <c r="A1026" s="3"/>
      <c r="B1026" s="3"/>
      <c r="C1026" s="3"/>
      <c r="D1026" s="3"/>
      <c r="E1026" s="3"/>
      <c r="F1026" s="3"/>
      <c r="G1026" s="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2"/>
      <c r="S1026" s="3"/>
      <c r="T1026" s="3"/>
      <c r="U1026" s="3"/>
      <c r="V1026" s="3"/>
      <c r="W1026" s="3"/>
      <c r="X1026" s="3"/>
      <c r="Y1026" s="3"/>
      <c r="Z1026" s="3"/>
    </row>
    <row r="1027" customFormat="false" ht="15.75" hidden="false" customHeight="true" outlineLevel="0" collapsed="false">
      <c r="A1027" s="3"/>
      <c r="B1027" s="3"/>
      <c r="C1027" s="3"/>
      <c r="D1027" s="3"/>
      <c r="E1027" s="3"/>
      <c r="F1027" s="3"/>
      <c r="G1027" s="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2"/>
      <c r="S1027" s="3"/>
      <c r="T1027" s="3"/>
      <c r="U1027" s="3"/>
      <c r="V1027" s="3"/>
      <c r="W1027" s="3"/>
      <c r="X1027" s="3"/>
      <c r="Y1027" s="3"/>
      <c r="Z1027" s="3"/>
    </row>
    <row r="1028" customFormat="false" ht="15.75" hidden="false" customHeight="true" outlineLevel="0" collapsed="false">
      <c r="A1028" s="3"/>
      <c r="B1028" s="3"/>
      <c r="C1028" s="3"/>
      <c r="D1028" s="3"/>
      <c r="E1028" s="3"/>
      <c r="F1028" s="3"/>
      <c r="G1028" s="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2"/>
      <c r="S1028" s="3"/>
      <c r="T1028" s="3"/>
      <c r="U1028" s="3"/>
      <c r="V1028" s="3"/>
      <c r="W1028" s="3"/>
      <c r="X1028" s="3"/>
      <c r="Y1028" s="3"/>
      <c r="Z1028" s="3"/>
    </row>
    <row r="1029" customFormat="false" ht="15.75" hidden="false" customHeight="true" outlineLevel="0" collapsed="false">
      <c r="A1029" s="3"/>
      <c r="B1029" s="3"/>
      <c r="C1029" s="3"/>
      <c r="D1029" s="3"/>
      <c r="E1029" s="3"/>
      <c r="F1029" s="3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2"/>
      <c r="S1029" s="3"/>
      <c r="T1029" s="3"/>
      <c r="U1029" s="3"/>
      <c r="V1029" s="3"/>
      <c r="W1029" s="3"/>
      <c r="X1029" s="3"/>
      <c r="Y1029" s="3"/>
      <c r="Z1029" s="3"/>
    </row>
    <row r="1030" customFormat="false" ht="15.75" hidden="false" customHeight="true" outlineLevel="0" collapsed="false">
      <c r="A1030" s="3"/>
      <c r="B1030" s="3"/>
      <c r="C1030" s="3"/>
      <c r="D1030" s="3"/>
      <c r="E1030" s="3"/>
      <c r="F1030" s="3"/>
      <c r="G1030" s="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2"/>
      <c r="S1030" s="3"/>
      <c r="T1030" s="3"/>
      <c r="U1030" s="3"/>
      <c r="V1030" s="3"/>
      <c r="W1030" s="3"/>
      <c r="X1030" s="3"/>
      <c r="Y1030" s="3"/>
      <c r="Z1030" s="3"/>
    </row>
    <row r="1031" customFormat="false" ht="15.75" hidden="false" customHeight="true" outlineLevel="0" collapsed="false">
      <c r="A1031" s="3"/>
      <c r="B1031" s="3"/>
      <c r="C1031" s="3"/>
      <c r="D1031" s="3"/>
      <c r="E1031" s="3"/>
      <c r="F1031" s="3"/>
      <c r="G1031" s="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2"/>
      <c r="S1031" s="3"/>
      <c r="T1031" s="3"/>
      <c r="U1031" s="3"/>
      <c r="V1031" s="3"/>
      <c r="W1031" s="3"/>
      <c r="X1031" s="3"/>
      <c r="Y1031" s="3"/>
      <c r="Z1031" s="3"/>
    </row>
    <row r="1032" customFormat="false" ht="15.75" hidden="false" customHeight="true" outlineLevel="0" collapsed="false">
      <c r="A1032" s="3"/>
      <c r="B1032" s="3"/>
      <c r="C1032" s="3"/>
      <c r="D1032" s="3"/>
      <c r="E1032" s="3"/>
      <c r="F1032" s="3"/>
      <c r="G1032" s="3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2"/>
      <c r="S1032" s="3"/>
      <c r="T1032" s="3"/>
      <c r="U1032" s="3"/>
      <c r="V1032" s="3"/>
      <c r="W1032" s="3"/>
      <c r="X1032" s="3"/>
      <c r="Y1032" s="3"/>
      <c r="Z1032" s="3"/>
    </row>
    <row r="1033" customFormat="false" ht="15.75" hidden="false" customHeight="true" outlineLevel="0" collapsed="false">
      <c r="A1033" s="3"/>
      <c r="B1033" s="3"/>
      <c r="C1033" s="3"/>
      <c r="D1033" s="3"/>
      <c r="E1033" s="3"/>
      <c r="F1033" s="3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2"/>
      <c r="S1033" s="3"/>
      <c r="T1033" s="3"/>
      <c r="U1033" s="3"/>
      <c r="V1033" s="3"/>
      <c r="W1033" s="3"/>
      <c r="X1033" s="3"/>
      <c r="Y1033" s="3"/>
      <c r="Z1033" s="3"/>
    </row>
    <row r="1034" customFormat="false" ht="15.75" hidden="false" customHeight="true" outlineLevel="0" collapsed="false">
      <c r="A1034" s="3"/>
      <c r="B1034" s="3"/>
      <c r="C1034" s="3"/>
      <c r="D1034" s="3"/>
      <c r="E1034" s="3"/>
      <c r="F1034" s="3"/>
      <c r="G1034" s="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2"/>
      <c r="S1034" s="3"/>
      <c r="T1034" s="3"/>
      <c r="U1034" s="3"/>
      <c r="V1034" s="3"/>
      <c r="W1034" s="3"/>
      <c r="X1034" s="3"/>
      <c r="Y1034" s="3"/>
      <c r="Z1034" s="3"/>
    </row>
    <row r="1035" customFormat="false" ht="15.75" hidden="false" customHeight="true" outlineLevel="0" collapsed="false">
      <c r="A1035" s="3"/>
      <c r="B1035" s="3"/>
      <c r="C1035" s="3"/>
      <c r="D1035" s="3"/>
      <c r="E1035" s="3"/>
      <c r="F1035" s="3"/>
      <c r="G1035" s="3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2"/>
      <c r="S1035" s="3"/>
      <c r="T1035" s="3"/>
      <c r="U1035" s="3"/>
      <c r="V1035" s="3"/>
      <c r="W1035" s="3"/>
      <c r="X1035" s="3"/>
      <c r="Y1035" s="3"/>
      <c r="Z1035" s="3"/>
    </row>
    <row r="1036" customFormat="false" ht="15.75" hidden="false" customHeight="true" outlineLevel="0" collapsed="false">
      <c r="A1036" s="3"/>
      <c r="B1036" s="3"/>
      <c r="C1036" s="3"/>
      <c r="D1036" s="3"/>
      <c r="E1036" s="3"/>
      <c r="F1036" s="3"/>
      <c r="G1036" s="3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2"/>
      <c r="S1036" s="3"/>
      <c r="T1036" s="3"/>
      <c r="U1036" s="3"/>
      <c r="V1036" s="3"/>
      <c r="W1036" s="3"/>
      <c r="X1036" s="3"/>
      <c r="Y1036" s="3"/>
      <c r="Z1036" s="3"/>
    </row>
    <row r="1037" customFormat="false" ht="15.75" hidden="false" customHeight="true" outlineLevel="0" collapsed="false">
      <c r="A1037" s="3"/>
      <c r="B1037" s="3"/>
      <c r="C1037" s="3"/>
      <c r="D1037" s="3"/>
      <c r="E1037" s="3"/>
      <c r="F1037" s="3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2"/>
      <c r="S1037" s="3"/>
      <c r="T1037" s="3"/>
      <c r="U1037" s="3"/>
      <c r="V1037" s="3"/>
      <c r="W1037" s="3"/>
      <c r="X1037" s="3"/>
      <c r="Y1037" s="3"/>
      <c r="Z1037" s="3"/>
    </row>
    <row r="1038" customFormat="false" ht="15.75" hidden="false" customHeight="true" outlineLevel="0" collapsed="false">
      <c r="A1038" s="3"/>
      <c r="B1038" s="3"/>
      <c r="C1038" s="3"/>
      <c r="D1038" s="3"/>
      <c r="E1038" s="3"/>
      <c r="F1038" s="3"/>
      <c r="G1038" s="3"/>
      <c r="H1038" s="3"/>
      <c r="I1038" s="3"/>
      <c r="J1038" s="3"/>
      <c r="K1038" s="3"/>
      <c r="L1038" s="3"/>
      <c r="M1038" s="3"/>
      <c r="N1038" s="3"/>
      <c r="O1038" s="3"/>
      <c r="P1038" s="3"/>
      <c r="Q1038" s="3"/>
      <c r="R1038" s="2"/>
      <c r="S1038" s="3"/>
      <c r="T1038" s="3"/>
      <c r="U1038" s="3"/>
      <c r="V1038" s="3"/>
      <c r="W1038" s="3"/>
      <c r="X1038" s="3"/>
      <c r="Y1038" s="3"/>
      <c r="Z1038" s="3"/>
    </row>
    <row r="1039" customFormat="false" ht="15.75" hidden="false" customHeight="true" outlineLevel="0" collapsed="false">
      <c r="A1039" s="3"/>
      <c r="B1039" s="3"/>
      <c r="C1039" s="3"/>
      <c r="D1039" s="3"/>
      <c r="E1039" s="3"/>
      <c r="F1039" s="3"/>
      <c r="G1039" s="3"/>
      <c r="H1039" s="3"/>
      <c r="I1039" s="3"/>
      <c r="J1039" s="3"/>
      <c r="K1039" s="3"/>
      <c r="L1039" s="3"/>
      <c r="M1039" s="3"/>
      <c r="N1039" s="3"/>
      <c r="O1039" s="3"/>
      <c r="P1039" s="3"/>
      <c r="Q1039" s="3"/>
      <c r="R1039" s="2"/>
      <c r="S1039" s="3"/>
      <c r="T1039" s="3"/>
      <c r="U1039" s="3"/>
      <c r="V1039" s="3"/>
      <c r="W1039" s="3"/>
      <c r="X1039" s="3"/>
      <c r="Y1039" s="3"/>
      <c r="Z1039" s="3"/>
    </row>
    <row r="1040" customFormat="false" ht="15.75" hidden="false" customHeight="true" outlineLevel="0" collapsed="false">
      <c r="A1040" s="3"/>
      <c r="B1040" s="3"/>
      <c r="C1040" s="3"/>
      <c r="D1040" s="3"/>
      <c r="E1040" s="3"/>
      <c r="F1040" s="3"/>
      <c r="G1040" s="3"/>
      <c r="H1040" s="3"/>
      <c r="I1040" s="3"/>
      <c r="J1040" s="3"/>
      <c r="K1040" s="3"/>
      <c r="L1040" s="3"/>
      <c r="M1040" s="3"/>
      <c r="N1040" s="3"/>
      <c r="O1040" s="3"/>
      <c r="P1040" s="3"/>
      <c r="Q1040" s="3"/>
      <c r="R1040" s="2"/>
      <c r="S1040" s="3"/>
      <c r="T1040" s="3"/>
      <c r="U1040" s="3"/>
      <c r="V1040" s="3"/>
      <c r="W1040" s="3"/>
      <c r="X1040" s="3"/>
      <c r="Y1040" s="3"/>
      <c r="Z1040" s="3"/>
    </row>
    <row r="1041" customFormat="false" ht="15.75" hidden="false" customHeight="true" outlineLevel="0" collapsed="false">
      <c r="A1041" s="3"/>
      <c r="B1041" s="3"/>
      <c r="C1041" s="3"/>
      <c r="D1041" s="3"/>
      <c r="E1041" s="3"/>
      <c r="F1041" s="3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2"/>
      <c r="S1041" s="3"/>
      <c r="T1041" s="3"/>
      <c r="U1041" s="3"/>
      <c r="V1041" s="3"/>
      <c r="W1041" s="3"/>
      <c r="X1041" s="3"/>
      <c r="Y1041" s="3"/>
      <c r="Z1041" s="3"/>
    </row>
    <row r="1042" customFormat="false" ht="15.75" hidden="false" customHeight="true" outlineLevel="0" collapsed="false">
      <c r="A1042" s="3"/>
      <c r="B1042" s="3"/>
      <c r="C1042" s="3"/>
      <c r="D1042" s="3"/>
      <c r="E1042" s="3"/>
      <c r="F1042" s="3"/>
      <c r="G1042" s="3"/>
      <c r="H1042" s="3"/>
      <c r="I1042" s="3"/>
      <c r="J1042" s="3"/>
      <c r="K1042" s="3"/>
      <c r="L1042" s="3"/>
      <c r="M1042" s="3"/>
      <c r="N1042" s="3"/>
      <c r="O1042" s="3"/>
      <c r="P1042" s="3"/>
      <c r="Q1042" s="3"/>
      <c r="R1042" s="2"/>
      <c r="S1042" s="3"/>
      <c r="T1042" s="3"/>
      <c r="U1042" s="3"/>
      <c r="V1042" s="3"/>
      <c r="W1042" s="3"/>
      <c r="X1042" s="3"/>
      <c r="Y1042" s="3"/>
      <c r="Z1042" s="3"/>
    </row>
    <row r="1043" customFormat="false" ht="15.75" hidden="false" customHeight="true" outlineLevel="0" collapsed="false">
      <c r="A1043" s="3"/>
      <c r="B1043" s="3"/>
      <c r="C1043" s="3"/>
      <c r="D1043" s="3"/>
      <c r="E1043" s="3"/>
      <c r="F1043" s="3"/>
      <c r="G1043" s="3"/>
      <c r="H1043" s="3"/>
      <c r="I1043" s="3"/>
      <c r="J1043" s="3"/>
      <c r="K1043" s="3"/>
      <c r="L1043" s="3"/>
      <c r="M1043" s="3"/>
      <c r="N1043" s="3"/>
      <c r="O1043" s="3"/>
      <c r="P1043" s="3"/>
      <c r="Q1043" s="3"/>
      <c r="R1043" s="2"/>
      <c r="S1043" s="3"/>
      <c r="T1043" s="3"/>
      <c r="U1043" s="3"/>
      <c r="V1043" s="3"/>
      <c r="W1043" s="3"/>
      <c r="X1043" s="3"/>
      <c r="Y1043" s="3"/>
      <c r="Z1043" s="3"/>
    </row>
    <row r="1044" customFormat="false" ht="15.75" hidden="false" customHeight="true" outlineLevel="0" collapsed="false">
      <c r="A1044" s="3"/>
      <c r="B1044" s="3"/>
      <c r="C1044" s="3"/>
      <c r="D1044" s="3"/>
      <c r="E1044" s="3"/>
      <c r="F1044" s="3"/>
      <c r="G1044" s="3"/>
      <c r="H1044" s="3"/>
      <c r="I1044" s="3"/>
      <c r="J1044" s="3"/>
      <c r="K1044" s="3"/>
      <c r="L1044" s="3"/>
      <c r="M1044" s="3"/>
      <c r="N1044" s="3"/>
      <c r="O1044" s="3"/>
      <c r="P1044" s="3"/>
      <c r="Q1044" s="3"/>
      <c r="R1044" s="2"/>
      <c r="S1044" s="3"/>
      <c r="T1044" s="3"/>
      <c r="U1044" s="3"/>
      <c r="V1044" s="3"/>
      <c r="W1044" s="3"/>
      <c r="X1044" s="3"/>
      <c r="Y1044" s="3"/>
      <c r="Z1044" s="3"/>
    </row>
    <row r="1045" customFormat="false" ht="15.75" hidden="false" customHeight="true" outlineLevel="0" collapsed="false">
      <c r="A1045" s="3"/>
      <c r="B1045" s="3"/>
      <c r="C1045" s="3"/>
      <c r="D1045" s="3"/>
      <c r="E1045" s="3"/>
      <c r="F1045" s="3"/>
      <c r="G1045" s="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2"/>
      <c r="S1045" s="3"/>
      <c r="T1045" s="3"/>
      <c r="U1045" s="3"/>
      <c r="V1045" s="3"/>
      <c r="W1045" s="3"/>
      <c r="X1045" s="3"/>
      <c r="Y1045" s="3"/>
      <c r="Z1045" s="3"/>
    </row>
    <row r="1046" customFormat="false" ht="15.75" hidden="false" customHeight="true" outlineLevel="0" collapsed="false">
      <c r="A1046" s="3"/>
      <c r="B1046" s="3"/>
      <c r="C1046" s="3"/>
      <c r="D1046" s="3"/>
      <c r="E1046" s="3"/>
      <c r="F1046" s="3"/>
      <c r="G1046" s="3"/>
      <c r="H1046" s="3"/>
      <c r="I1046" s="3"/>
      <c r="J1046" s="3"/>
      <c r="K1046" s="3"/>
      <c r="L1046" s="3"/>
      <c r="M1046" s="3"/>
      <c r="N1046" s="3"/>
      <c r="O1046" s="3"/>
      <c r="P1046" s="3"/>
      <c r="Q1046" s="3"/>
      <c r="R1046" s="2"/>
      <c r="S1046" s="3"/>
      <c r="T1046" s="3"/>
      <c r="U1046" s="3"/>
      <c r="V1046" s="3"/>
      <c r="W1046" s="3"/>
      <c r="X1046" s="3"/>
      <c r="Y1046" s="3"/>
      <c r="Z1046" s="3"/>
    </row>
    <row r="1047" customFormat="false" ht="15.75" hidden="false" customHeight="true" outlineLevel="0" collapsed="false">
      <c r="A1047" s="3"/>
      <c r="B1047" s="3"/>
      <c r="C1047" s="3"/>
      <c r="D1047" s="3"/>
      <c r="E1047" s="3"/>
      <c r="F1047" s="3"/>
      <c r="G1047" s="3"/>
      <c r="H1047" s="3"/>
      <c r="I1047" s="3"/>
      <c r="J1047" s="3"/>
      <c r="K1047" s="3"/>
      <c r="L1047" s="3"/>
      <c r="M1047" s="3"/>
      <c r="N1047" s="3"/>
      <c r="O1047" s="3"/>
      <c r="P1047" s="3"/>
      <c r="Q1047" s="3"/>
      <c r="R1047" s="2"/>
      <c r="S1047" s="3"/>
      <c r="T1047" s="3"/>
      <c r="U1047" s="3"/>
      <c r="V1047" s="3"/>
      <c r="W1047" s="3"/>
      <c r="X1047" s="3"/>
      <c r="Y1047" s="3"/>
      <c r="Z1047" s="3"/>
    </row>
    <row r="1048" customFormat="false" ht="15.75" hidden="false" customHeight="true" outlineLevel="0" collapsed="false">
      <c r="A1048" s="3"/>
      <c r="B1048" s="3"/>
      <c r="C1048" s="3"/>
      <c r="D1048" s="3"/>
      <c r="E1048" s="3"/>
      <c r="F1048" s="3"/>
      <c r="G1048" s="3"/>
      <c r="H1048" s="3"/>
      <c r="I1048" s="3"/>
      <c r="J1048" s="3"/>
      <c r="K1048" s="3"/>
      <c r="L1048" s="3"/>
      <c r="M1048" s="3"/>
      <c r="N1048" s="3"/>
      <c r="O1048" s="3"/>
      <c r="P1048" s="3"/>
      <c r="Q1048" s="3"/>
      <c r="R1048" s="2"/>
      <c r="S1048" s="3"/>
      <c r="T1048" s="3"/>
      <c r="U1048" s="3"/>
      <c r="V1048" s="3"/>
      <c r="W1048" s="3"/>
      <c r="X1048" s="3"/>
      <c r="Y1048" s="3"/>
      <c r="Z1048" s="3"/>
    </row>
    <row r="1049" customFormat="false" ht="15.75" hidden="false" customHeight="true" outlineLevel="0" collapsed="false">
      <c r="A1049" s="3"/>
      <c r="B1049" s="3"/>
      <c r="C1049" s="3"/>
      <c r="D1049" s="3"/>
      <c r="E1049" s="3"/>
      <c r="F1049" s="3"/>
      <c r="G1049" s="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2"/>
      <c r="S1049" s="3"/>
      <c r="T1049" s="3"/>
      <c r="U1049" s="3"/>
      <c r="V1049" s="3"/>
      <c r="W1049" s="3"/>
      <c r="X1049" s="3"/>
      <c r="Y1049" s="3"/>
      <c r="Z1049" s="3"/>
    </row>
    <row r="1050" customFormat="false" ht="15.75" hidden="false" customHeight="true" outlineLevel="0" collapsed="false">
      <c r="A1050" s="3"/>
      <c r="B1050" s="3"/>
      <c r="C1050" s="3"/>
      <c r="D1050" s="3"/>
      <c r="E1050" s="3"/>
      <c r="F1050" s="3"/>
      <c r="G1050" s="3"/>
      <c r="H1050" s="3"/>
      <c r="I1050" s="3"/>
      <c r="J1050" s="3"/>
      <c r="K1050" s="3"/>
      <c r="L1050" s="3"/>
      <c r="M1050" s="3"/>
      <c r="N1050" s="3"/>
      <c r="O1050" s="3"/>
      <c r="P1050" s="3"/>
      <c r="Q1050" s="3"/>
      <c r="R1050" s="2"/>
      <c r="S1050" s="3"/>
      <c r="T1050" s="3"/>
      <c r="U1050" s="3"/>
      <c r="V1050" s="3"/>
      <c r="W1050" s="3"/>
      <c r="X1050" s="3"/>
      <c r="Y1050" s="3"/>
      <c r="Z1050" s="3"/>
    </row>
    <row r="1051" customFormat="false" ht="15.75" hidden="false" customHeight="true" outlineLevel="0" collapsed="false">
      <c r="A1051" s="3"/>
      <c r="B1051" s="3"/>
      <c r="C1051" s="3"/>
      <c r="D1051" s="3"/>
      <c r="E1051" s="3"/>
      <c r="F1051" s="3"/>
      <c r="G1051" s="3"/>
      <c r="H1051" s="3"/>
      <c r="I1051" s="3"/>
      <c r="J1051" s="3"/>
      <c r="K1051" s="3"/>
      <c r="L1051" s="3"/>
      <c r="M1051" s="3"/>
      <c r="N1051" s="3"/>
      <c r="O1051" s="3"/>
      <c r="P1051" s="3"/>
      <c r="Q1051" s="3"/>
      <c r="R1051" s="2"/>
      <c r="S1051" s="3"/>
      <c r="T1051" s="3"/>
      <c r="U1051" s="3"/>
      <c r="V1051" s="3"/>
      <c r="W1051" s="3"/>
      <c r="X1051" s="3"/>
      <c r="Y1051" s="3"/>
      <c r="Z1051" s="3"/>
    </row>
    <row r="1052" customFormat="false" ht="15.75" hidden="false" customHeight="true" outlineLevel="0" collapsed="false">
      <c r="A1052" s="3"/>
      <c r="B1052" s="3"/>
      <c r="C1052" s="3"/>
      <c r="D1052" s="3"/>
      <c r="E1052" s="3"/>
      <c r="F1052" s="3"/>
      <c r="G1052" s="3"/>
      <c r="H1052" s="3"/>
      <c r="I1052" s="3"/>
      <c r="J1052" s="3"/>
      <c r="K1052" s="3"/>
      <c r="L1052" s="3"/>
      <c r="M1052" s="3"/>
      <c r="N1052" s="3"/>
      <c r="O1052" s="3"/>
      <c r="P1052" s="3"/>
      <c r="Q1052" s="3"/>
      <c r="R1052" s="2"/>
      <c r="S1052" s="3"/>
      <c r="T1052" s="3"/>
      <c r="U1052" s="3"/>
      <c r="V1052" s="3"/>
      <c r="W1052" s="3"/>
      <c r="X1052" s="3"/>
      <c r="Y1052" s="3"/>
      <c r="Z1052" s="3"/>
    </row>
    <row r="1053" customFormat="false" ht="15.75" hidden="false" customHeight="true" outlineLevel="0" collapsed="false">
      <c r="A1053" s="3"/>
      <c r="B1053" s="3"/>
      <c r="C1053" s="3"/>
      <c r="D1053" s="3"/>
      <c r="E1053" s="3"/>
      <c r="F1053" s="3"/>
      <c r="G1053" s="3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2"/>
      <c r="S1053" s="3"/>
      <c r="T1053" s="3"/>
      <c r="U1053" s="3"/>
      <c r="V1053" s="3"/>
      <c r="W1053" s="3"/>
      <c r="X1053" s="3"/>
      <c r="Y1053" s="3"/>
      <c r="Z1053" s="3"/>
    </row>
    <row r="1054" customFormat="false" ht="15.75" hidden="false" customHeight="true" outlineLevel="0" collapsed="false">
      <c r="A1054" s="3"/>
      <c r="B1054" s="3"/>
      <c r="C1054" s="3"/>
      <c r="D1054" s="3"/>
      <c r="E1054" s="3"/>
      <c r="F1054" s="3"/>
      <c r="G1054" s="3"/>
      <c r="H1054" s="3"/>
      <c r="I1054" s="3"/>
      <c r="J1054" s="3"/>
      <c r="K1054" s="3"/>
      <c r="L1054" s="3"/>
      <c r="M1054" s="3"/>
      <c r="N1054" s="3"/>
      <c r="O1054" s="3"/>
      <c r="P1054" s="3"/>
      <c r="Q1054" s="3"/>
      <c r="R1054" s="2"/>
      <c r="S1054" s="3"/>
      <c r="T1054" s="3"/>
      <c r="U1054" s="3"/>
      <c r="V1054" s="3"/>
      <c r="W1054" s="3"/>
      <c r="X1054" s="3"/>
      <c r="Y1054" s="3"/>
      <c r="Z1054" s="3"/>
    </row>
    <row r="1055" customFormat="false" ht="15.75" hidden="false" customHeight="true" outlineLevel="0" collapsed="false">
      <c r="A1055" s="3"/>
      <c r="B1055" s="3"/>
      <c r="C1055" s="3"/>
      <c r="D1055" s="3"/>
      <c r="E1055" s="3"/>
      <c r="F1055" s="3"/>
      <c r="G1055" s="3"/>
      <c r="H1055" s="3"/>
      <c r="I1055" s="3"/>
      <c r="J1055" s="3"/>
      <c r="K1055" s="3"/>
      <c r="L1055" s="3"/>
      <c r="M1055" s="3"/>
      <c r="N1055" s="3"/>
      <c r="O1055" s="3"/>
      <c r="P1055" s="3"/>
      <c r="Q1055" s="3"/>
      <c r="R1055" s="2"/>
      <c r="S1055" s="3"/>
      <c r="T1055" s="3"/>
      <c r="U1055" s="3"/>
      <c r="V1055" s="3"/>
      <c r="W1055" s="3"/>
      <c r="X1055" s="3"/>
      <c r="Y1055" s="3"/>
      <c r="Z1055" s="3"/>
    </row>
    <row r="1056" customFormat="false" ht="15.75" hidden="false" customHeight="true" outlineLevel="0" collapsed="false">
      <c r="A1056" s="3"/>
      <c r="B1056" s="3"/>
      <c r="C1056" s="3"/>
      <c r="D1056" s="3"/>
      <c r="E1056" s="3"/>
      <c r="F1056" s="3"/>
      <c r="G1056" s="3"/>
      <c r="H1056" s="3"/>
      <c r="I1056" s="3"/>
      <c r="J1056" s="3"/>
      <c r="K1056" s="3"/>
      <c r="L1056" s="3"/>
      <c r="M1056" s="3"/>
      <c r="N1056" s="3"/>
      <c r="O1056" s="3"/>
      <c r="P1056" s="3"/>
      <c r="Q1056" s="3"/>
      <c r="R1056" s="2"/>
      <c r="S1056" s="3"/>
      <c r="T1056" s="3"/>
      <c r="U1056" s="3"/>
      <c r="V1056" s="3"/>
      <c r="W1056" s="3"/>
      <c r="X1056" s="3"/>
      <c r="Y1056" s="3"/>
      <c r="Z1056" s="3"/>
    </row>
    <row r="1057" customFormat="false" ht="15.75" hidden="false" customHeight="true" outlineLevel="0" collapsed="false">
      <c r="A1057" s="3"/>
      <c r="B1057" s="3"/>
      <c r="C1057" s="3"/>
      <c r="D1057" s="3"/>
      <c r="E1057" s="3"/>
      <c r="F1057" s="3"/>
      <c r="G1057" s="3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2"/>
      <c r="S1057" s="3"/>
      <c r="T1057" s="3"/>
      <c r="U1057" s="3"/>
      <c r="V1057" s="3"/>
      <c r="W1057" s="3"/>
      <c r="X1057" s="3"/>
      <c r="Y1057" s="3"/>
      <c r="Z1057" s="3"/>
    </row>
    <row r="1058" customFormat="false" ht="15.75" hidden="false" customHeight="true" outlineLevel="0" collapsed="false">
      <c r="A1058" s="3"/>
      <c r="B1058" s="3"/>
      <c r="C1058" s="3"/>
      <c r="D1058" s="3"/>
      <c r="E1058" s="3"/>
      <c r="F1058" s="3"/>
      <c r="G1058" s="3"/>
      <c r="H1058" s="3"/>
      <c r="I1058" s="3"/>
      <c r="J1058" s="3"/>
      <c r="K1058" s="3"/>
      <c r="L1058" s="3"/>
      <c r="M1058" s="3"/>
      <c r="N1058" s="3"/>
      <c r="O1058" s="3"/>
      <c r="P1058" s="3"/>
      <c r="Q1058" s="3"/>
      <c r="R1058" s="2"/>
      <c r="S1058" s="3"/>
      <c r="T1058" s="3"/>
      <c r="U1058" s="3"/>
      <c r="V1058" s="3"/>
      <c r="W1058" s="3"/>
      <c r="X1058" s="3"/>
      <c r="Y1058" s="3"/>
      <c r="Z1058" s="3"/>
    </row>
    <row r="1059" customFormat="false" ht="15.75" hidden="false" customHeight="true" outlineLevel="0" collapsed="false">
      <c r="A1059" s="3"/>
      <c r="B1059" s="3"/>
      <c r="C1059" s="3"/>
      <c r="D1059" s="3"/>
      <c r="E1059" s="3"/>
      <c r="F1059" s="3"/>
      <c r="G1059" s="3"/>
      <c r="H1059" s="3"/>
      <c r="I1059" s="3"/>
      <c r="J1059" s="3"/>
      <c r="K1059" s="3"/>
      <c r="L1059" s="3"/>
      <c r="M1059" s="3"/>
      <c r="N1059" s="3"/>
      <c r="O1059" s="3"/>
      <c r="P1059" s="3"/>
      <c r="Q1059" s="3"/>
      <c r="R1059" s="2"/>
      <c r="S1059" s="3"/>
      <c r="T1059" s="3"/>
      <c r="U1059" s="3"/>
      <c r="V1059" s="3"/>
      <c r="W1059" s="3"/>
      <c r="X1059" s="3"/>
      <c r="Y1059" s="3"/>
      <c r="Z1059" s="3"/>
    </row>
    <row r="1060" customFormat="false" ht="15.75" hidden="false" customHeight="true" outlineLevel="0" collapsed="false">
      <c r="A1060" s="3"/>
      <c r="B1060" s="3"/>
      <c r="C1060" s="3"/>
      <c r="D1060" s="3"/>
      <c r="E1060" s="3"/>
      <c r="F1060" s="3"/>
      <c r="G1060" s="3"/>
      <c r="H1060" s="3"/>
      <c r="I1060" s="3"/>
      <c r="J1060" s="3"/>
      <c r="K1060" s="3"/>
      <c r="L1060" s="3"/>
      <c r="M1060" s="3"/>
      <c r="N1060" s="3"/>
      <c r="O1060" s="3"/>
      <c r="P1060" s="3"/>
      <c r="Q1060" s="3"/>
      <c r="R1060" s="2"/>
      <c r="S1060" s="3"/>
      <c r="T1060" s="3"/>
      <c r="U1060" s="3"/>
      <c r="V1060" s="3"/>
      <c r="W1060" s="3"/>
      <c r="X1060" s="3"/>
      <c r="Y1060" s="3"/>
      <c r="Z1060" s="3"/>
    </row>
    <row r="1061" customFormat="false" ht="15.75" hidden="false" customHeight="true" outlineLevel="0" collapsed="false">
      <c r="A1061" s="3"/>
      <c r="B1061" s="3"/>
      <c r="C1061" s="3"/>
      <c r="D1061" s="3"/>
      <c r="E1061" s="3"/>
      <c r="F1061" s="3"/>
      <c r="G1061" s="3"/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2"/>
      <c r="S1061" s="3"/>
      <c r="T1061" s="3"/>
      <c r="U1061" s="3"/>
      <c r="V1061" s="3"/>
      <c r="W1061" s="3"/>
      <c r="X1061" s="3"/>
      <c r="Y1061" s="3"/>
      <c r="Z1061" s="3"/>
    </row>
    <row r="1062" customFormat="false" ht="15.75" hidden="false" customHeight="true" outlineLevel="0" collapsed="false">
      <c r="A1062" s="3"/>
      <c r="B1062" s="3"/>
      <c r="C1062" s="3"/>
      <c r="D1062" s="3"/>
      <c r="E1062" s="3"/>
      <c r="F1062" s="3"/>
      <c r="G1062" s="3"/>
      <c r="H1062" s="3"/>
      <c r="I1062" s="3"/>
      <c r="J1062" s="3"/>
      <c r="K1062" s="3"/>
      <c r="L1062" s="3"/>
      <c r="M1062" s="3"/>
      <c r="N1062" s="3"/>
      <c r="O1062" s="3"/>
      <c r="P1062" s="3"/>
      <c r="Q1062" s="3"/>
      <c r="R1062" s="2"/>
      <c r="S1062" s="3"/>
      <c r="T1062" s="3"/>
      <c r="U1062" s="3"/>
      <c r="V1062" s="3"/>
      <c r="W1062" s="3"/>
      <c r="X1062" s="3"/>
      <c r="Y1062" s="3"/>
      <c r="Z1062" s="3"/>
    </row>
    <row r="1063" customFormat="false" ht="15.75" hidden="false" customHeight="true" outlineLevel="0" collapsed="false">
      <c r="A1063" s="3"/>
      <c r="B1063" s="3"/>
      <c r="C1063" s="3"/>
      <c r="D1063" s="3"/>
      <c r="E1063" s="3"/>
      <c r="F1063" s="3"/>
      <c r="G1063" s="3"/>
      <c r="H1063" s="3"/>
      <c r="I1063" s="3"/>
      <c r="J1063" s="3"/>
      <c r="K1063" s="3"/>
      <c r="L1063" s="3"/>
      <c r="M1063" s="3"/>
      <c r="N1063" s="3"/>
      <c r="O1063" s="3"/>
      <c r="P1063" s="3"/>
      <c r="Q1063" s="3"/>
      <c r="R1063" s="2"/>
      <c r="S1063" s="3"/>
      <c r="T1063" s="3"/>
      <c r="U1063" s="3"/>
      <c r="V1063" s="3"/>
      <c r="W1063" s="3"/>
      <c r="X1063" s="3"/>
      <c r="Y1063" s="3"/>
      <c r="Z1063" s="3"/>
    </row>
    <row r="1064" customFormat="false" ht="15.75" hidden="false" customHeight="true" outlineLevel="0" collapsed="false">
      <c r="A1064" s="3"/>
      <c r="B1064" s="3"/>
      <c r="C1064" s="3"/>
      <c r="D1064" s="3"/>
      <c r="E1064" s="3"/>
      <c r="F1064" s="3"/>
      <c r="G1064" s="3"/>
      <c r="H1064" s="3"/>
      <c r="I1064" s="3"/>
      <c r="J1064" s="3"/>
      <c r="K1064" s="3"/>
      <c r="L1064" s="3"/>
      <c r="M1064" s="3"/>
      <c r="N1064" s="3"/>
      <c r="O1064" s="3"/>
      <c r="P1064" s="3"/>
      <c r="Q1064" s="3"/>
      <c r="R1064" s="2"/>
      <c r="S1064" s="3"/>
      <c r="T1064" s="3"/>
      <c r="U1064" s="3"/>
      <c r="V1064" s="3"/>
      <c r="W1064" s="3"/>
      <c r="X1064" s="3"/>
      <c r="Y1064" s="3"/>
      <c r="Z1064" s="3"/>
    </row>
    <row r="1065" customFormat="false" ht="15.75" hidden="false" customHeight="true" outlineLevel="0" collapsed="false">
      <c r="A1065" s="3"/>
      <c r="B1065" s="3"/>
      <c r="C1065" s="3"/>
      <c r="D1065" s="3"/>
      <c r="E1065" s="3"/>
      <c r="F1065" s="3"/>
      <c r="G1065" s="3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2"/>
      <c r="S1065" s="3"/>
      <c r="T1065" s="3"/>
      <c r="U1065" s="3"/>
      <c r="V1065" s="3"/>
      <c r="W1065" s="3"/>
      <c r="X1065" s="3"/>
      <c r="Y1065" s="3"/>
      <c r="Z1065" s="3"/>
    </row>
    <row r="1066" customFormat="false" ht="15.75" hidden="false" customHeight="true" outlineLevel="0" collapsed="false">
      <c r="A1066" s="3"/>
      <c r="B1066" s="3"/>
      <c r="C1066" s="3"/>
      <c r="D1066" s="3"/>
      <c r="E1066" s="3"/>
      <c r="F1066" s="3"/>
      <c r="G1066" s="3"/>
      <c r="H1066" s="3"/>
      <c r="I1066" s="3"/>
      <c r="J1066" s="3"/>
      <c r="K1066" s="3"/>
      <c r="L1066" s="3"/>
      <c r="M1066" s="3"/>
      <c r="N1066" s="3"/>
      <c r="O1066" s="3"/>
      <c r="P1066" s="3"/>
      <c r="Q1066" s="3"/>
      <c r="R1066" s="2"/>
      <c r="S1066" s="3"/>
      <c r="T1066" s="3"/>
      <c r="U1066" s="3"/>
      <c r="V1066" s="3"/>
      <c r="W1066" s="3"/>
      <c r="X1066" s="3"/>
      <c r="Y1066" s="3"/>
      <c r="Z1066" s="3"/>
    </row>
    <row r="1067" customFormat="false" ht="15.75" hidden="false" customHeight="true" outlineLevel="0" collapsed="false">
      <c r="A1067" s="3"/>
      <c r="B1067" s="3"/>
      <c r="C1067" s="3"/>
      <c r="D1067" s="3"/>
      <c r="E1067" s="3"/>
      <c r="F1067" s="3"/>
      <c r="G1067" s="3"/>
      <c r="H1067" s="3"/>
      <c r="I1067" s="3"/>
      <c r="J1067" s="3"/>
      <c r="K1067" s="3"/>
      <c r="L1067" s="3"/>
      <c r="M1067" s="3"/>
      <c r="N1067" s="3"/>
      <c r="O1067" s="3"/>
      <c r="P1067" s="3"/>
      <c r="Q1067" s="3"/>
      <c r="R1067" s="2"/>
      <c r="S1067" s="3"/>
      <c r="T1067" s="3"/>
      <c r="U1067" s="3"/>
      <c r="V1067" s="3"/>
      <c r="W1067" s="3"/>
      <c r="X1067" s="3"/>
      <c r="Y1067" s="3"/>
      <c r="Z1067" s="3"/>
    </row>
    <row r="1068" customFormat="false" ht="15.75" hidden="false" customHeight="true" outlineLevel="0" collapsed="false">
      <c r="A1068" s="3"/>
      <c r="B1068" s="3"/>
      <c r="C1068" s="3"/>
      <c r="D1068" s="3"/>
      <c r="E1068" s="3"/>
      <c r="F1068" s="3"/>
      <c r="G1068" s="3"/>
      <c r="H1068" s="3"/>
      <c r="I1068" s="3"/>
      <c r="J1068" s="3"/>
      <c r="K1068" s="3"/>
      <c r="L1068" s="3"/>
      <c r="M1068" s="3"/>
      <c r="N1068" s="3"/>
      <c r="O1068" s="3"/>
      <c r="P1068" s="3"/>
      <c r="Q1068" s="3"/>
      <c r="R1068" s="2"/>
      <c r="S1068" s="3"/>
      <c r="T1068" s="3"/>
      <c r="U1068" s="3"/>
      <c r="V1068" s="3"/>
      <c r="W1068" s="3"/>
      <c r="X1068" s="3"/>
      <c r="Y1068" s="3"/>
      <c r="Z1068" s="3"/>
    </row>
    <row r="1069" customFormat="false" ht="15.75" hidden="false" customHeight="true" outlineLevel="0" collapsed="false">
      <c r="A1069" s="3"/>
      <c r="B1069" s="3"/>
      <c r="C1069" s="3"/>
      <c r="D1069" s="3"/>
      <c r="E1069" s="3"/>
      <c r="F1069" s="3"/>
      <c r="G1069" s="3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2"/>
      <c r="S1069" s="3"/>
      <c r="T1069" s="3"/>
      <c r="U1069" s="3"/>
      <c r="V1069" s="3"/>
      <c r="W1069" s="3"/>
      <c r="X1069" s="3"/>
      <c r="Y1069" s="3"/>
      <c r="Z1069" s="3"/>
    </row>
    <row r="1070" customFormat="false" ht="15.75" hidden="false" customHeight="true" outlineLevel="0" collapsed="false">
      <c r="A1070" s="3"/>
      <c r="B1070" s="3"/>
      <c r="C1070" s="3"/>
      <c r="D1070" s="3"/>
      <c r="E1070" s="3"/>
      <c r="F1070" s="3"/>
      <c r="G1070" s="3"/>
      <c r="H1070" s="3"/>
      <c r="I1070" s="3"/>
      <c r="J1070" s="3"/>
      <c r="K1070" s="3"/>
      <c r="L1070" s="3"/>
      <c r="M1070" s="3"/>
      <c r="N1070" s="3"/>
      <c r="O1070" s="3"/>
      <c r="P1070" s="3"/>
      <c r="Q1070" s="3"/>
      <c r="R1070" s="2"/>
      <c r="S1070" s="3"/>
      <c r="T1070" s="3"/>
      <c r="U1070" s="3"/>
      <c r="V1070" s="3"/>
      <c r="W1070" s="3"/>
      <c r="X1070" s="3"/>
      <c r="Y1070" s="3"/>
      <c r="Z1070" s="3"/>
    </row>
    <row r="1071" customFormat="false" ht="15.75" hidden="false" customHeight="true" outlineLevel="0" collapsed="false">
      <c r="A1071" s="3"/>
      <c r="B1071" s="3"/>
      <c r="C1071" s="3"/>
      <c r="D1071" s="3"/>
      <c r="E1071" s="3"/>
      <c r="F1071" s="3"/>
      <c r="G1071" s="3"/>
      <c r="H1071" s="3"/>
      <c r="I1071" s="3"/>
      <c r="J1071" s="3"/>
      <c r="K1071" s="3"/>
      <c r="L1071" s="3"/>
      <c r="M1071" s="3"/>
      <c r="N1071" s="3"/>
      <c r="O1071" s="3"/>
      <c r="P1071" s="3"/>
      <c r="Q1071" s="3"/>
      <c r="R1071" s="2"/>
      <c r="S1071" s="3"/>
      <c r="T1071" s="3"/>
      <c r="U1071" s="3"/>
      <c r="V1071" s="3"/>
      <c r="W1071" s="3"/>
      <c r="X1071" s="3"/>
      <c r="Y1071" s="3"/>
      <c r="Z1071" s="3"/>
    </row>
    <row r="1072" customFormat="false" ht="15.75" hidden="false" customHeight="true" outlineLevel="0" collapsed="false">
      <c r="A1072" s="3"/>
      <c r="B1072" s="3"/>
      <c r="C1072" s="3"/>
      <c r="D1072" s="3"/>
      <c r="E1072" s="3"/>
      <c r="F1072" s="3"/>
      <c r="G1072" s="3"/>
      <c r="H1072" s="3"/>
      <c r="I1072" s="3"/>
      <c r="J1072" s="3"/>
      <c r="K1072" s="3"/>
      <c r="L1072" s="3"/>
      <c r="M1072" s="3"/>
      <c r="N1072" s="3"/>
      <c r="O1072" s="3"/>
      <c r="P1072" s="3"/>
      <c r="Q1072" s="3"/>
      <c r="R1072" s="2"/>
      <c r="S1072" s="3"/>
      <c r="T1072" s="3"/>
      <c r="U1072" s="3"/>
      <c r="V1072" s="3"/>
      <c r="W1072" s="3"/>
      <c r="X1072" s="3"/>
      <c r="Y1072" s="3"/>
      <c r="Z1072" s="3"/>
    </row>
    <row r="1073" customFormat="false" ht="15.75" hidden="false" customHeight="true" outlineLevel="0" collapsed="false">
      <c r="A1073" s="3"/>
      <c r="B1073" s="3"/>
      <c r="C1073" s="3"/>
      <c r="D1073" s="3"/>
      <c r="E1073" s="3"/>
      <c r="F1073" s="3"/>
      <c r="G1073" s="3"/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2"/>
      <c r="S1073" s="3"/>
      <c r="T1073" s="3"/>
      <c r="U1073" s="3"/>
      <c r="V1073" s="3"/>
      <c r="W1073" s="3"/>
      <c r="X1073" s="3"/>
      <c r="Y1073" s="3"/>
      <c r="Z1073" s="3"/>
    </row>
    <row r="1074" customFormat="false" ht="15.75" hidden="false" customHeight="true" outlineLevel="0" collapsed="false">
      <c r="A1074" s="3"/>
      <c r="B1074" s="3"/>
      <c r="C1074" s="3"/>
      <c r="D1074" s="3"/>
      <c r="E1074" s="3"/>
      <c r="F1074" s="3"/>
      <c r="G1074" s="3"/>
      <c r="H1074" s="3"/>
      <c r="I1074" s="3"/>
      <c r="J1074" s="3"/>
      <c r="K1074" s="3"/>
      <c r="L1074" s="3"/>
      <c r="M1074" s="3"/>
      <c r="N1074" s="3"/>
      <c r="O1074" s="3"/>
      <c r="P1074" s="3"/>
      <c r="Q1074" s="3"/>
      <c r="R1074" s="2"/>
      <c r="S1074" s="3"/>
      <c r="T1074" s="3"/>
      <c r="U1074" s="3"/>
      <c r="V1074" s="3"/>
      <c r="W1074" s="3"/>
      <c r="X1074" s="3"/>
      <c r="Y1074" s="3"/>
      <c r="Z1074" s="3"/>
    </row>
    <row r="1075" customFormat="false" ht="15.75" hidden="false" customHeight="true" outlineLevel="0" collapsed="false">
      <c r="A1075" s="3"/>
      <c r="B1075" s="3"/>
      <c r="C1075" s="3"/>
      <c r="D1075" s="3"/>
      <c r="E1075" s="3"/>
      <c r="F1075" s="3"/>
      <c r="G1075" s="3"/>
      <c r="H1075" s="3"/>
      <c r="I1075" s="3"/>
      <c r="J1075" s="3"/>
      <c r="K1075" s="3"/>
      <c r="L1075" s="3"/>
      <c r="M1075" s="3"/>
      <c r="N1075" s="3"/>
      <c r="O1075" s="3"/>
      <c r="P1075" s="3"/>
      <c r="Q1075" s="3"/>
      <c r="R1075" s="2"/>
      <c r="S1075" s="3"/>
      <c r="T1075" s="3"/>
      <c r="U1075" s="3"/>
      <c r="V1075" s="3"/>
      <c r="W1075" s="3"/>
      <c r="X1075" s="3"/>
      <c r="Y1075" s="3"/>
      <c r="Z1075" s="3"/>
    </row>
    <row r="1076" customFormat="false" ht="15.75" hidden="false" customHeight="true" outlineLevel="0" collapsed="false">
      <c r="A1076" s="3"/>
      <c r="B1076" s="3"/>
      <c r="C1076" s="3"/>
      <c r="D1076" s="3"/>
      <c r="E1076" s="3"/>
      <c r="F1076" s="3"/>
      <c r="G1076" s="3"/>
      <c r="H1076" s="3"/>
      <c r="I1076" s="3"/>
      <c r="J1076" s="3"/>
      <c r="K1076" s="3"/>
      <c r="L1076" s="3"/>
      <c r="M1076" s="3"/>
      <c r="N1076" s="3"/>
      <c r="O1076" s="3"/>
      <c r="P1076" s="3"/>
      <c r="Q1076" s="3"/>
      <c r="R1076" s="2"/>
      <c r="S1076" s="3"/>
      <c r="T1076" s="3"/>
      <c r="U1076" s="3"/>
      <c r="V1076" s="3"/>
      <c r="W1076" s="3"/>
      <c r="X1076" s="3"/>
      <c r="Y1076" s="3"/>
      <c r="Z1076" s="3"/>
    </row>
    <row r="1077" customFormat="false" ht="15.75" hidden="false" customHeight="true" outlineLevel="0" collapsed="false">
      <c r="A1077" s="3"/>
      <c r="B1077" s="3"/>
      <c r="C1077" s="3"/>
      <c r="D1077" s="3"/>
      <c r="E1077" s="3"/>
      <c r="F1077" s="3"/>
      <c r="G1077" s="3"/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2"/>
      <c r="S1077" s="3"/>
      <c r="T1077" s="3"/>
      <c r="U1077" s="3"/>
      <c r="V1077" s="3"/>
      <c r="W1077" s="3"/>
      <c r="X1077" s="3"/>
      <c r="Y1077" s="3"/>
      <c r="Z1077" s="3"/>
    </row>
    <row r="1078" customFormat="false" ht="15.75" hidden="false" customHeight="true" outlineLevel="0" collapsed="false">
      <c r="A1078" s="3"/>
      <c r="B1078" s="3"/>
      <c r="C1078" s="3"/>
      <c r="D1078" s="3"/>
      <c r="E1078" s="3"/>
      <c r="F1078" s="3"/>
      <c r="G1078" s="3"/>
      <c r="H1078" s="3"/>
      <c r="I1078" s="3"/>
      <c r="J1078" s="3"/>
      <c r="K1078" s="3"/>
      <c r="L1078" s="3"/>
      <c r="M1078" s="3"/>
      <c r="N1078" s="3"/>
      <c r="O1078" s="3"/>
      <c r="P1078" s="3"/>
      <c r="Q1078" s="3"/>
      <c r="R1078" s="2"/>
      <c r="S1078" s="3"/>
      <c r="T1078" s="3"/>
      <c r="U1078" s="3"/>
      <c r="V1078" s="3"/>
      <c r="W1078" s="3"/>
      <c r="X1078" s="3"/>
      <c r="Y1078" s="3"/>
      <c r="Z1078" s="3"/>
    </row>
    <row r="1079" customFormat="false" ht="15.75" hidden="false" customHeight="true" outlineLevel="0" collapsed="false">
      <c r="A1079" s="3"/>
      <c r="B1079" s="3"/>
      <c r="C1079" s="3"/>
      <c r="D1079" s="3"/>
      <c r="E1079" s="3"/>
      <c r="F1079" s="3"/>
      <c r="G1079" s="3"/>
      <c r="H1079" s="3"/>
      <c r="I1079" s="3"/>
      <c r="J1079" s="3"/>
      <c r="K1079" s="3"/>
      <c r="L1079" s="3"/>
      <c r="M1079" s="3"/>
      <c r="N1079" s="3"/>
      <c r="O1079" s="3"/>
      <c r="P1079" s="3"/>
      <c r="Q1079" s="3"/>
      <c r="R1079" s="2"/>
      <c r="S1079" s="3"/>
      <c r="T1079" s="3"/>
      <c r="U1079" s="3"/>
      <c r="V1079" s="3"/>
      <c r="W1079" s="3"/>
      <c r="X1079" s="3"/>
      <c r="Y1079" s="3"/>
      <c r="Z1079" s="3"/>
    </row>
    <row r="1080" customFormat="false" ht="15.75" hidden="false" customHeight="true" outlineLevel="0" collapsed="false">
      <c r="A1080" s="3"/>
      <c r="B1080" s="3"/>
      <c r="C1080" s="3"/>
      <c r="D1080" s="3"/>
      <c r="E1080" s="3"/>
      <c r="F1080" s="3"/>
      <c r="G1080" s="3"/>
      <c r="H1080" s="3"/>
      <c r="I1080" s="3"/>
      <c r="J1080" s="3"/>
      <c r="K1080" s="3"/>
      <c r="L1080" s="3"/>
      <c r="M1080" s="3"/>
      <c r="N1080" s="3"/>
      <c r="O1080" s="3"/>
      <c r="P1080" s="3"/>
      <c r="Q1080" s="3"/>
      <c r="R1080" s="2"/>
      <c r="S1080" s="3"/>
      <c r="T1080" s="3"/>
      <c r="U1080" s="3"/>
      <c r="V1080" s="3"/>
      <c r="W1080" s="3"/>
      <c r="X1080" s="3"/>
      <c r="Y1080" s="3"/>
      <c r="Z1080" s="3"/>
    </row>
    <row r="1081" customFormat="false" ht="15.75" hidden="false" customHeight="true" outlineLevel="0" collapsed="false">
      <c r="A1081" s="3"/>
      <c r="B1081" s="3"/>
      <c r="C1081" s="3"/>
      <c r="D1081" s="3"/>
      <c r="E1081" s="3"/>
      <c r="F1081" s="3"/>
      <c r="G1081" s="3"/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2"/>
      <c r="S1081" s="3"/>
      <c r="T1081" s="3"/>
      <c r="U1081" s="3"/>
      <c r="V1081" s="3"/>
      <c r="W1081" s="3"/>
      <c r="X1081" s="3"/>
      <c r="Y1081" s="3"/>
      <c r="Z1081" s="3"/>
    </row>
    <row r="1082" customFormat="false" ht="15.75" hidden="false" customHeight="true" outlineLevel="0" collapsed="false">
      <c r="A1082" s="3"/>
      <c r="B1082" s="3"/>
      <c r="C1082" s="3"/>
      <c r="D1082" s="3"/>
      <c r="E1082" s="3"/>
      <c r="F1082" s="3"/>
      <c r="G1082" s="3"/>
      <c r="H1082" s="3"/>
      <c r="I1082" s="3"/>
      <c r="J1082" s="3"/>
      <c r="K1082" s="3"/>
      <c r="L1082" s="3"/>
      <c r="M1082" s="3"/>
      <c r="N1082" s="3"/>
      <c r="O1082" s="3"/>
      <c r="P1082" s="3"/>
      <c r="Q1082" s="3"/>
      <c r="R1082" s="2"/>
      <c r="S1082" s="3"/>
      <c r="T1082" s="3"/>
      <c r="U1082" s="3"/>
      <c r="V1082" s="3"/>
      <c r="W1082" s="3"/>
      <c r="X1082" s="3"/>
      <c r="Y1082" s="3"/>
      <c r="Z1082" s="3"/>
    </row>
    <row r="1083" customFormat="false" ht="15.75" hidden="false" customHeight="true" outlineLevel="0" collapsed="false">
      <c r="A1083" s="3"/>
      <c r="B1083" s="3"/>
      <c r="C1083" s="3"/>
      <c r="D1083" s="3"/>
      <c r="E1083" s="3"/>
      <c r="F1083" s="3"/>
      <c r="G1083" s="3"/>
      <c r="H1083" s="3"/>
      <c r="I1083" s="3"/>
      <c r="J1083" s="3"/>
      <c r="K1083" s="3"/>
      <c r="L1083" s="3"/>
      <c r="M1083" s="3"/>
      <c r="N1083" s="3"/>
      <c r="O1083" s="3"/>
      <c r="P1083" s="3"/>
      <c r="Q1083" s="3"/>
      <c r="R1083" s="2"/>
      <c r="S1083" s="3"/>
      <c r="T1083" s="3"/>
      <c r="U1083" s="3"/>
      <c r="V1083" s="3"/>
      <c r="W1083" s="3"/>
      <c r="X1083" s="3"/>
      <c r="Y1083" s="3"/>
      <c r="Z1083" s="3"/>
    </row>
    <row r="1084" customFormat="false" ht="15.75" hidden="false" customHeight="true" outlineLevel="0" collapsed="false">
      <c r="A1084" s="3"/>
      <c r="B1084" s="3"/>
      <c r="C1084" s="3"/>
      <c r="D1084" s="3"/>
      <c r="E1084" s="3"/>
      <c r="F1084" s="3"/>
      <c r="G1084" s="3"/>
      <c r="H1084" s="3"/>
      <c r="I1084" s="3"/>
      <c r="J1084" s="3"/>
      <c r="K1084" s="3"/>
      <c r="L1084" s="3"/>
      <c r="M1084" s="3"/>
      <c r="N1084" s="3"/>
      <c r="O1084" s="3"/>
      <c r="P1084" s="3"/>
      <c r="Q1084" s="3"/>
      <c r="R1084" s="2"/>
      <c r="S1084" s="3"/>
      <c r="T1084" s="3"/>
      <c r="U1084" s="3"/>
      <c r="V1084" s="3"/>
      <c r="W1084" s="3"/>
      <c r="X1084" s="3"/>
      <c r="Y1084" s="3"/>
      <c r="Z1084" s="3"/>
    </row>
    <row r="1085" customFormat="false" ht="15.75" hidden="false" customHeight="true" outlineLevel="0" collapsed="false">
      <c r="A1085" s="3"/>
      <c r="B1085" s="3"/>
      <c r="C1085" s="3"/>
      <c r="D1085" s="3"/>
      <c r="E1085" s="3"/>
      <c r="F1085" s="3"/>
      <c r="G1085" s="3"/>
      <c r="H1085" s="3"/>
      <c r="I1085" s="3"/>
      <c r="J1085" s="3"/>
      <c r="K1085" s="3"/>
      <c r="L1085" s="3"/>
      <c r="M1085" s="3"/>
      <c r="N1085" s="3"/>
      <c r="O1085" s="3"/>
      <c r="P1085" s="3"/>
      <c r="Q1085" s="3"/>
      <c r="R1085" s="2"/>
      <c r="S1085" s="3"/>
      <c r="T1085" s="3"/>
      <c r="U1085" s="3"/>
      <c r="V1085" s="3"/>
      <c r="W1085" s="3"/>
      <c r="X1085" s="3"/>
      <c r="Y1085" s="3"/>
      <c r="Z1085" s="3"/>
    </row>
    <row r="1086" customFormat="false" ht="15.75" hidden="false" customHeight="true" outlineLevel="0" collapsed="false">
      <c r="A1086" s="3"/>
      <c r="B1086" s="3"/>
      <c r="C1086" s="3"/>
      <c r="D1086" s="3"/>
      <c r="E1086" s="3"/>
      <c r="F1086" s="3"/>
      <c r="G1086" s="3"/>
      <c r="H1086" s="3"/>
      <c r="I1086" s="3"/>
      <c r="J1086" s="3"/>
      <c r="K1086" s="3"/>
      <c r="L1086" s="3"/>
      <c r="M1086" s="3"/>
      <c r="N1086" s="3"/>
      <c r="O1086" s="3"/>
      <c r="P1086" s="3"/>
      <c r="Q1086" s="3"/>
      <c r="R1086" s="2"/>
      <c r="S1086" s="3"/>
      <c r="T1086" s="3"/>
      <c r="U1086" s="3"/>
      <c r="V1086" s="3"/>
      <c r="W1086" s="3"/>
      <c r="X1086" s="3"/>
      <c r="Y1086" s="3"/>
      <c r="Z1086" s="3"/>
    </row>
    <row r="1087" customFormat="false" ht="15.75" hidden="false" customHeight="true" outlineLevel="0" collapsed="false">
      <c r="A1087" s="3"/>
      <c r="B1087" s="3"/>
      <c r="C1087" s="3"/>
      <c r="D1087" s="3"/>
      <c r="E1087" s="3"/>
      <c r="F1087" s="3"/>
      <c r="G1087" s="3"/>
      <c r="H1087" s="3"/>
      <c r="I1087" s="3"/>
      <c r="J1087" s="3"/>
      <c r="K1087" s="3"/>
      <c r="L1087" s="3"/>
      <c r="M1087" s="3"/>
      <c r="N1087" s="3"/>
      <c r="O1087" s="3"/>
      <c r="P1087" s="3"/>
      <c r="Q1087" s="3"/>
      <c r="R1087" s="2"/>
      <c r="S1087" s="3"/>
      <c r="T1087" s="3"/>
      <c r="U1087" s="3"/>
      <c r="V1087" s="3"/>
      <c r="W1087" s="3"/>
      <c r="X1087" s="3"/>
      <c r="Y1087" s="3"/>
      <c r="Z1087" s="3"/>
    </row>
    <row r="1088" customFormat="false" ht="15.75" hidden="false" customHeight="true" outlineLevel="0" collapsed="false">
      <c r="A1088" s="3"/>
      <c r="B1088" s="3"/>
      <c r="C1088" s="3"/>
      <c r="D1088" s="3"/>
      <c r="E1088" s="3"/>
      <c r="F1088" s="3"/>
      <c r="G1088" s="3"/>
      <c r="H1088" s="3"/>
      <c r="I1088" s="3"/>
      <c r="J1088" s="3"/>
      <c r="K1088" s="3"/>
      <c r="L1088" s="3"/>
      <c r="M1088" s="3"/>
      <c r="N1088" s="3"/>
      <c r="O1088" s="3"/>
      <c r="P1088" s="3"/>
      <c r="Q1088" s="3"/>
      <c r="R1088" s="2"/>
      <c r="S1088" s="3"/>
      <c r="T1088" s="3"/>
      <c r="U1088" s="3"/>
      <c r="V1088" s="3"/>
      <c r="W1088" s="3"/>
      <c r="X1088" s="3"/>
      <c r="Y1088" s="3"/>
      <c r="Z1088" s="3"/>
    </row>
    <row r="1089" customFormat="false" ht="15.75" hidden="false" customHeight="true" outlineLevel="0" collapsed="false">
      <c r="A1089" s="3"/>
      <c r="B1089" s="3"/>
      <c r="C1089" s="3"/>
      <c r="D1089" s="3"/>
      <c r="E1089" s="3"/>
      <c r="F1089" s="3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2"/>
      <c r="S1089" s="3"/>
      <c r="T1089" s="3"/>
      <c r="U1089" s="3"/>
      <c r="V1089" s="3"/>
      <c r="W1089" s="3"/>
      <c r="X1089" s="3"/>
      <c r="Y1089" s="3"/>
      <c r="Z1089" s="3"/>
    </row>
    <row r="1090" customFormat="false" ht="15.75" hidden="false" customHeight="true" outlineLevel="0" collapsed="false">
      <c r="A1090" s="3"/>
      <c r="B1090" s="3"/>
      <c r="C1090" s="3"/>
      <c r="D1090" s="3"/>
      <c r="E1090" s="3"/>
      <c r="F1090" s="3"/>
      <c r="G1090" s="3"/>
      <c r="H1090" s="3"/>
      <c r="I1090" s="3"/>
      <c r="J1090" s="3"/>
      <c r="K1090" s="3"/>
      <c r="L1090" s="3"/>
      <c r="M1090" s="3"/>
      <c r="N1090" s="3"/>
      <c r="O1090" s="3"/>
      <c r="P1090" s="3"/>
      <c r="Q1090" s="3"/>
      <c r="R1090" s="2"/>
      <c r="S1090" s="3"/>
      <c r="T1090" s="3"/>
      <c r="U1090" s="3"/>
      <c r="V1090" s="3"/>
      <c r="W1090" s="3"/>
      <c r="X1090" s="3"/>
      <c r="Y1090" s="3"/>
      <c r="Z1090" s="3"/>
    </row>
    <row r="1091" customFormat="false" ht="15.75" hidden="false" customHeight="true" outlineLevel="0" collapsed="false">
      <c r="A1091" s="3"/>
      <c r="B1091" s="3"/>
      <c r="C1091" s="3"/>
      <c r="D1091" s="3"/>
      <c r="E1091" s="3"/>
      <c r="F1091" s="3"/>
      <c r="G1091" s="3"/>
      <c r="H1091" s="3"/>
      <c r="I1091" s="3"/>
      <c r="J1091" s="3"/>
      <c r="K1091" s="3"/>
      <c r="L1091" s="3"/>
      <c r="M1091" s="3"/>
      <c r="N1091" s="3"/>
      <c r="O1091" s="3"/>
      <c r="P1091" s="3"/>
      <c r="Q1091" s="3"/>
      <c r="R1091" s="2"/>
      <c r="S1091" s="3"/>
      <c r="T1091" s="3"/>
      <c r="U1091" s="3"/>
      <c r="V1091" s="3"/>
      <c r="W1091" s="3"/>
      <c r="X1091" s="3"/>
      <c r="Y1091" s="3"/>
      <c r="Z1091" s="3"/>
    </row>
    <row r="1092" customFormat="false" ht="15.75" hidden="false" customHeight="true" outlineLevel="0" collapsed="false">
      <c r="A1092" s="3"/>
      <c r="B1092" s="3"/>
      <c r="C1092" s="3"/>
      <c r="D1092" s="3"/>
      <c r="E1092" s="3"/>
      <c r="F1092" s="3"/>
      <c r="G1092" s="3"/>
      <c r="H1092" s="3"/>
      <c r="I1092" s="3"/>
      <c r="J1092" s="3"/>
      <c r="K1092" s="3"/>
      <c r="L1092" s="3"/>
      <c r="M1092" s="3"/>
      <c r="N1092" s="3"/>
      <c r="O1092" s="3"/>
      <c r="P1092" s="3"/>
      <c r="Q1092" s="3"/>
      <c r="R1092" s="2"/>
      <c r="S1092" s="3"/>
      <c r="T1092" s="3"/>
      <c r="U1092" s="3"/>
      <c r="V1092" s="3"/>
      <c r="W1092" s="3"/>
      <c r="X1092" s="3"/>
      <c r="Y1092" s="3"/>
      <c r="Z1092" s="3"/>
    </row>
    <row r="1093" customFormat="false" ht="15.75" hidden="false" customHeight="true" outlineLevel="0" collapsed="false">
      <c r="A1093" s="3"/>
      <c r="B1093" s="3"/>
      <c r="C1093" s="3"/>
      <c r="D1093" s="3"/>
      <c r="E1093" s="3"/>
      <c r="F1093" s="3"/>
      <c r="G1093" s="3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2"/>
      <c r="S1093" s="3"/>
      <c r="T1093" s="3"/>
      <c r="U1093" s="3"/>
      <c r="V1093" s="3"/>
      <c r="W1093" s="3"/>
      <c r="X1093" s="3"/>
      <c r="Y1093" s="3"/>
      <c r="Z1093" s="3"/>
    </row>
    <row r="1094" customFormat="false" ht="15.75" hidden="false" customHeight="true" outlineLevel="0" collapsed="false">
      <c r="A1094" s="3"/>
      <c r="B1094" s="3"/>
      <c r="C1094" s="3"/>
      <c r="D1094" s="3"/>
      <c r="E1094" s="3"/>
      <c r="F1094" s="3"/>
      <c r="G1094" s="3"/>
      <c r="H1094" s="3"/>
      <c r="I1094" s="3"/>
      <c r="J1094" s="3"/>
      <c r="K1094" s="3"/>
      <c r="L1094" s="3"/>
      <c r="M1094" s="3"/>
      <c r="N1094" s="3"/>
      <c r="O1094" s="3"/>
      <c r="P1094" s="3"/>
      <c r="Q1094" s="3"/>
      <c r="R1094" s="2"/>
      <c r="S1094" s="3"/>
      <c r="T1094" s="3"/>
      <c r="U1094" s="3"/>
      <c r="V1094" s="3"/>
      <c r="W1094" s="3"/>
      <c r="X1094" s="3"/>
      <c r="Y1094" s="3"/>
      <c r="Z1094" s="3"/>
    </row>
    <row r="1095" customFormat="false" ht="15.75" hidden="false" customHeight="true" outlineLevel="0" collapsed="false">
      <c r="A1095" s="3"/>
      <c r="B1095" s="3"/>
      <c r="C1095" s="3"/>
      <c r="D1095" s="3"/>
      <c r="E1095" s="3"/>
      <c r="F1095" s="3"/>
      <c r="G1095" s="3"/>
      <c r="H1095" s="3"/>
      <c r="I1095" s="3"/>
      <c r="J1095" s="3"/>
      <c r="K1095" s="3"/>
      <c r="L1095" s="3"/>
      <c r="M1095" s="3"/>
      <c r="N1095" s="3"/>
      <c r="O1095" s="3"/>
      <c r="P1095" s="3"/>
      <c r="Q1095" s="3"/>
      <c r="R1095" s="2"/>
      <c r="S1095" s="3"/>
      <c r="T1095" s="3"/>
      <c r="U1095" s="3"/>
      <c r="V1095" s="3"/>
      <c r="W1095" s="3"/>
      <c r="X1095" s="3"/>
      <c r="Y1095" s="3"/>
      <c r="Z1095" s="3"/>
    </row>
    <row r="1096" customFormat="false" ht="15.75" hidden="false" customHeight="true" outlineLevel="0" collapsed="false">
      <c r="A1096" s="3"/>
      <c r="B1096" s="3"/>
      <c r="C1096" s="3"/>
      <c r="D1096" s="3"/>
      <c r="E1096" s="3"/>
      <c r="F1096" s="3"/>
      <c r="G1096" s="3"/>
      <c r="H1096" s="3"/>
      <c r="I1096" s="3"/>
      <c r="J1096" s="3"/>
      <c r="K1096" s="3"/>
      <c r="L1096" s="3"/>
      <c r="M1096" s="3"/>
      <c r="N1096" s="3"/>
      <c r="O1096" s="3"/>
      <c r="P1096" s="3"/>
      <c r="Q1096" s="3"/>
      <c r="R1096" s="2"/>
      <c r="S1096" s="3"/>
      <c r="T1096" s="3"/>
      <c r="U1096" s="3"/>
      <c r="V1096" s="3"/>
      <c r="W1096" s="3"/>
      <c r="X1096" s="3"/>
      <c r="Y1096" s="3"/>
      <c r="Z1096" s="3"/>
    </row>
    <row r="1097" customFormat="false" ht="15.75" hidden="false" customHeight="true" outlineLevel="0" collapsed="false">
      <c r="A1097" s="3"/>
      <c r="B1097" s="3"/>
      <c r="C1097" s="3"/>
      <c r="D1097" s="3"/>
      <c r="E1097" s="3"/>
      <c r="F1097" s="3"/>
      <c r="G1097" s="3"/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2"/>
      <c r="S1097" s="3"/>
      <c r="T1097" s="3"/>
      <c r="U1097" s="3"/>
      <c r="V1097" s="3"/>
      <c r="W1097" s="3"/>
      <c r="X1097" s="3"/>
      <c r="Y1097" s="3"/>
      <c r="Z1097" s="3"/>
    </row>
    <row r="1098" customFormat="false" ht="15.75" hidden="false" customHeight="true" outlineLevel="0" collapsed="false">
      <c r="A1098" s="3"/>
      <c r="B1098" s="3"/>
      <c r="C1098" s="3"/>
      <c r="D1098" s="3"/>
      <c r="E1098" s="3"/>
      <c r="F1098" s="3"/>
      <c r="G1098" s="3"/>
      <c r="H1098" s="3"/>
      <c r="I1098" s="3"/>
      <c r="J1098" s="3"/>
      <c r="K1098" s="3"/>
      <c r="L1098" s="3"/>
      <c r="M1098" s="3"/>
      <c r="N1098" s="3"/>
      <c r="O1098" s="3"/>
      <c r="P1098" s="3"/>
      <c r="Q1098" s="3"/>
      <c r="R1098" s="2"/>
      <c r="S1098" s="3"/>
      <c r="T1098" s="3"/>
      <c r="U1098" s="3"/>
      <c r="V1098" s="3"/>
      <c r="W1098" s="3"/>
      <c r="X1098" s="3"/>
      <c r="Y1098" s="3"/>
      <c r="Z1098" s="3"/>
    </row>
    <row r="1099" customFormat="false" ht="15.75" hidden="false" customHeight="true" outlineLevel="0" collapsed="false">
      <c r="A1099" s="3"/>
      <c r="B1099" s="3"/>
      <c r="C1099" s="3"/>
      <c r="D1099" s="3"/>
      <c r="E1099" s="3"/>
      <c r="F1099" s="3"/>
      <c r="G1099" s="3"/>
      <c r="H1099" s="3"/>
      <c r="I1099" s="3"/>
      <c r="J1099" s="3"/>
      <c r="K1099" s="3"/>
      <c r="L1099" s="3"/>
      <c r="M1099" s="3"/>
      <c r="N1099" s="3"/>
      <c r="O1099" s="3"/>
      <c r="P1099" s="3"/>
      <c r="Q1099" s="3"/>
      <c r="R1099" s="2"/>
      <c r="S1099" s="3"/>
      <c r="T1099" s="3"/>
      <c r="U1099" s="3"/>
      <c r="V1099" s="3"/>
      <c r="W1099" s="3"/>
      <c r="X1099" s="3"/>
      <c r="Y1099" s="3"/>
      <c r="Z1099" s="3"/>
    </row>
    <row r="1100" customFormat="false" ht="15.75" hidden="false" customHeight="true" outlineLevel="0" collapsed="false">
      <c r="A1100" s="3"/>
      <c r="B1100" s="3"/>
      <c r="C1100" s="3"/>
      <c r="D1100" s="3"/>
      <c r="E1100" s="3"/>
      <c r="F1100" s="3"/>
      <c r="G1100" s="3"/>
      <c r="H1100" s="3"/>
      <c r="I1100" s="3"/>
      <c r="J1100" s="3"/>
      <c r="K1100" s="3"/>
      <c r="L1100" s="3"/>
      <c r="M1100" s="3"/>
      <c r="N1100" s="3"/>
      <c r="O1100" s="3"/>
      <c r="P1100" s="3"/>
      <c r="Q1100" s="3"/>
      <c r="R1100" s="2"/>
      <c r="S1100" s="3"/>
      <c r="T1100" s="3"/>
      <c r="U1100" s="3"/>
      <c r="V1100" s="3"/>
      <c r="W1100" s="3"/>
      <c r="X1100" s="3"/>
      <c r="Y1100" s="3"/>
      <c r="Z1100" s="3"/>
    </row>
    <row r="1101" customFormat="false" ht="15.75" hidden="false" customHeight="true" outlineLevel="0" collapsed="false">
      <c r="A1101" s="3"/>
      <c r="B1101" s="3"/>
      <c r="C1101" s="3"/>
      <c r="D1101" s="3"/>
      <c r="E1101" s="3"/>
      <c r="F1101" s="3"/>
      <c r="G1101" s="3"/>
      <c r="H1101" s="3"/>
      <c r="I1101" s="3"/>
      <c r="J1101" s="3"/>
      <c r="K1101" s="3"/>
      <c r="L1101" s="3"/>
      <c r="M1101" s="3"/>
      <c r="N1101" s="3"/>
      <c r="O1101" s="3"/>
      <c r="P1101" s="3"/>
      <c r="Q1101" s="3"/>
      <c r="R1101" s="2"/>
      <c r="S1101" s="3"/>
      <c r="T1101" s="3"/>
      <c r="U1101" s="3"/>
      <c r="V1101" s="3"/>
      <c r="W1101" s="3"/>
      <c r="X1101" s="3"/>
      <c r="Y1101" s="3"/>
      <c r="Z1101" s="3"/>
    </row>
    <row r="1102" customFormat="false" ht="15.75" hidden="false" customHeight="true" outlineLevel="0" collapsed="false">
      <c r="A1102" s="3"/>
      <c r="B1102" s="3"/>
      <c r="C1102" s="3"/>
      <c r="D1102" s="3"/>
      <c r="E1102" s="3"/>
      <c r="F1102" s="3"/>
      <c r="G1102" s="3"/>
      <c r="H1102" s="3"/>
      <c r="I1102" s="3"/>
      <c r="J1102" s="3"/>
      <c r="K1102" s="3"/>
      <c r="L1102" s="3"/>
      <c r="M1102" s="3"/>
      <c r="N1102" s="3"/>
      <c r="O1102" s="3"/>
      <c r="P1102" s="3"/>
      <c r="Q1102" s="3"/>
      <c r="R1102" s="2"/>
      <c r="S1102" s="3"/>
      <c r="T1102" s="3"/>
      <c r="U1102" s="3"/>
      <c r="V1102" s="3"/>
      <c r="W1102" s="3"/>
      <c r="X1102" s="3"/>
      <c r="Y1102" s="3"/>
      <c r="Z1102" s="3"/>
    </row>
    <row r="1103" customFormat="false" ht="15.75" hidden="false" customHeight="true" outlineLevel="0" collapsed="false">
      <c r="A1103" s="3"/>
      <c r="B1103" s="3"/>
      <c r="C1103" s="3"/>
      <c r="D1103" s="3"/>
      <c r="E1103" s="3"/>
      <c r="F1103" s="3"/>
      <c r="G1103" s="3"/>
      <c r="H1103" s="3"/>
      <c r="I1103" s="3"/>
      <c r="J1103" s="3"/>
      <c r="K1103" s="3"/>
      <c r="L1103" s="3"/>
      <c r="M1103" s="3"/>
      <c r="N1103" s="3"/>
      <c r="O1103" s="3"/>
      <c r="P1103" s="3"/>
      <c r="Q1103" s="3"/>
      <c r="R1103" s="2"/>
      <c r="S1103" s="3"/>
      <c r="T1103" s="3"/>
      <c r="U1103" s="3"/>
      <c r="V1103" s="3"/>
      <c r="W1103" s="3"/>
      <c r="X1103" s="3"/>
      <c r="Y1103" s="3"/>
      <c r="Z1103" s="3"/>
    </row>
    <row r="1104" customFormat="false" ht="15.75" hidden="false" customHeight="true" outlineLevel="0" collapsed="false">
      <c r="A1104" s="3"/>
      <c r="B1104" s="3"/>
      <c r="C1104" s="3"/>
      <c r="D1104" s="3"/>
      <c r="E1104" s="3"/>
      <c r="F1104" s="3"/>
      <c r="G1104" s="3"/>
      <c r="H1104" s="3"/>
      <c r="I1104" s="3"/>
      <c r="J1104" s="3"/>
      <c r="K1104" s="3"/>
      <c r="L1104" s="3"/>
      <c r="M1104" s="3"/>
      <c r="N1104" s="3"/>
      <c r="O1104" s="3"/>
      <c r="P1104" s="3"/>
      <c r="Q1104" s="3"/>
      <c r="R1104" s="2"/>
      <c r="S1104" s="3"/>
      <c r="T1104" s="3"/>
      <c r="U1104" s="3"/>
      <c r="V1104" s="3"/>
      <c r="W1104" s="3"/>
      <c r="X1104" s="3"/>
      <c r="Y1104" s="3"/>
      <c r="Z1104" s="3"/>
    </row>
    <row r="1105" customFormat="false" ht="15.75" hidden="false" customHeight="true" outlineLevel="0" collapsed="false">
      <c r="A1105" s="3"/>
      <c r="B1105" s="3"/>
      <c r="C1105" s="3"/>
      <c r="D1105" s="3"/>
      <c r="E1105" s="3"/>
      <c r="F1105" s="3"/>
      <c r="G1105" s="3"/>
      <c r="H1105" s="3"/>
      <c r="I1105" s="3"/>
      <c r="J1105" s="3"/>
      <c r="K1105" s="3"/>
      <c r="L1105" s="3"/>
      <c r="M1105" s="3"/>
      <c r="N1105" s="3"/>
      <c r="O1105" s="3"/>
      <c r="P1105" s="3"/>
      <c r="Q1105" s="3"/>
      <c r="R1105" s="2"/>
      <c r="S1105" s="3"/>
      <c r="T1105" s="3"/>
      <c r="U1105" s="3"/>
      <c r="V1105" s="3"/>
      <c r="W1105" s="3"/>
      <c r="X1105" s="3"/>
      <c r="Y1105" s="3"/>
      <c r="Z1105" s="3"/>
    </row>
    <row r="1106" customFormat="false" ht="15.75" hidden="false" customHeight="true" outlineLevel="0" collapsed="false">
      <c r="A1106" s="3"/>
      <c r="B1106" s="3"/>
      <c r="C1106" s="3"/>
      <c r="D1106" s="3"/>
      <c r="E1106" s="3"/>
      <c r="F1106" s="3"/>
      <c r="G1106" s="3"/>
      <c r="H1106" s="3"/>
      <c r="I1106" s="3"/>
      <c r="J1106" s="3"/>
      <c r="K1106" s="3"/>
      <c r="L1106" s="3"/>
      <c r="M1106" s="3"/>
      <c r="N1106" s="3"/>
      <c r="O1106" s="3"/>
      <c r="P1106" s="3"/>
      <c r="Q1106" s="3"/>
      <c r="R1106" s="2"/>
      <c r="S1106" s="3"/>
      <c r="T1106" s="3"/>
      <c r="U1106" s="3"/>
      <c r="V1106" s="3"/>
      <c r="W1106" s="3"/>
      <c r="X1106" s="3"/>
      <c r="Y1106" s="3"/>
      <c r="Z1106" s="3"/>
    </row>
    <row r="1107" customFormat="false" ht="15.75" hidden="false" customHeight="true" outlineLevel="0" collapsed="false">
      <c r="A1107" s="3"/>
      <c r="B1107" s="3"/>
      <c r="C1107" s="3"/>
      <c r="D1107" s="3"/>
      <c r="E1107" s="3"/>
      <c r="F1107" s="3"/>
      <c r="G1107" s="3"/>
      <c r="H1107" s="3"/>
      <c r="I1107" s="3"/>
      <c r="J1107" s="3"/>
      <c r="K1107" s="3"/>
      <c r="L1107" s="3"/>
      <c r="M1107" s="3"/>
      <c r="N1107" s="3"/>
      <c r="O1107" s="3"/>
      <c r="P1107" s="3"/>
      <c r="Q1107" s="3"/>
      <c r="R1107" s="2"/>
      <c r="S1107" s="3"/>
      <c r="T1107" s="3"/>
      <c r="U1107" s="3"/>
      <c r="V1107" s="3"/>
      <c r="W1107" s="3"/>
      <c r="X1107" s="3"/>
      <c r="Y1107" s="3"/>
      <c r="Z1107" s="3"/>
    </row>
    <row r="1108" customFormat="false" ht="15.75" hidden="false" customHeight="true" outlineLevel="0" collapsed="false">
      <c r="A1108" s="3"/>
      <c r="B1108" s="3"/>
      <c r="C1108" s="3"/>
      <c r="D1108" s="3"/>
      <c r="E1108" s="3"/>
      <c r="F1108" s="3"/>
      <c r="G1108" s="3"/>
      <c r="H1108" s="3"/>
      <c r="I1108" s="3"/>
      <c r="J1108" s="3"/>
      <c r="K1108" s="3"/>
      <c r="L1108" s="3"/>
      <c r="M1108" s="3"/>
      <c r="N1108" s="3"/>
      <c r="O1108" s="3"/>
      <c r="P1108" s="3"/>
      <c r="Q1108" s="3"/>
      <c r="R1108" s="2"/>
      <c r="S1108" s="3"/>
      <c r="T1108" s="3"/>
      <c r="U1108" s="3"/>
      <c r="V1108" s="3"/>
      <c r="W1108" s="3"/>
      <c r="X1108" s="3"/>
      <c r="Y1108" s="3"/>
      <c r="Z1108" s="3"/>
    </row>
    <row r="1109" customFormat="false" ht="15.75" hidden="false" customHeight="true" outlineLevel="0" collapsed="false">
      <c r="A1109" s="3"/>
      <c r="B1109" s="3"/>
      <c r="C1109" s="3"/>
      <c r="D1109" s="3"/>
      <c r="E1109" s="3"/>
      <c r="F1109" s="3"/>
      <c r="G1109" s="3"/>
      <c r="H1109" s="3"/>
      <c r="I1109" s="3"/>
      <c r="J1109" s="3"/>
      <c r="K1109" s="3"/>
      <c r="L1109" s="3"/>
      <c r="M1109" s="3"/>
      <c r="N1109" s="3"/>
      <c r="O1109" s="3"/>
      <c r="P1109" s="3"/>
      <c r="Q1109" s="3"/>
      <c r="R1109" s="2"/>
      <c r="S1109" s="3"/>
      <c r="T1109" s="3"/>
      <c r="U1109" s="3"/>
      <c r="V1109" s="3"/>
      <c r="W1109" s="3"/>
      <c r="X1109" s="3"/>
      <c r="Y1109" s="3"/>
      <c r="Z1109" s="3"/>
    </row>
    <row r="1110" customFormat="false" ht="15.75" hidden="false" customHeight="true" outlineLevel="0" collapsed="false">
      <c r="A1110" s="3"/>
      <c r="B1110" s="3"/>
      <c r="C1110" s="3"/>
      <c r="D1110" s="3"/>
      <c r="E1110" s="3"/>
      <c r="F1110" s="3"/>
      <c r="G1110" s="3"/>
      <c r="H1110" s="3"/>
      <c r="I1110" s="3"/>
      <c r="J1110" s="3"/>
      <c r="K1110" s="3"/>
      <c r="L1110" s="3"/>
      <c r="M1110" s="3"/>
      <c r="N1110" s="3"/>
      <c r="O1110" s="3"/>
      <c r="P1110" s="3"/>
      <c r="Q1110" s="3"/>
      <c r="R1110" s="2"/>
      <c r="S1110" s="3"/>
      <c r="T1110" s="3"/>
      <c r="U1110" s="3"/>
      <c r="V1110" s="3"/>
      <c r="W1110" s="3"/>
      <c r="X1110" s="3"/>
      <c r="Y1110" s="3"/>
      <c r="Z1110" s="3"/>
    </row>
    <row r="1111" customFormat="false" ht="15.75" hidden="false" customHeight="true" outlineLevel="0" collapsed="false">
      <c r="A1111" s="3"/>
      <c r="B1111" s="3"/>
      <c r="C1111" s="3"/>
      <c r="D1111" s="3"/>
      <c r="E1111" s="3"/>
      <c r="F1111" s="3"/>
      <c r="G1111" s="3"/>
      <c r="H1111" s="3"/>
      <c r="I1111" s="3"/>
      <c r="J1111" s="3"/>
      <c r="K1111" s="3"/>
      <c r="L1111" s="3"/>
      <c r="M1111" s="3"/>
      <c r="N1111" s="3"/>
      <c r="O1111" s="3"/>
      <c r="P1111" s="3"/>
      <c r="Q1111" s="3"/>
      <c r="R1111" s="2"/>
      <c r="S1111" s="3"/>
      <c r="T1111" s="3"/>
      <c r="U1111" s="3"/>
      <c r="V1111" s="3"/>
      <c r="W1111" s="3"/>
      <c r="X1111" s="3"/>
      <c r="Y1111" s="3"/>
      <c r="Z1111" s="3"/>
    </row>
    <row r="1112" customFormat="false" ht="15.75" hidden="false" customHeight="true" outlineLevel="0" collapsed="false">
      <c r="A1112" s="3"/>
      <c r="B1112" s="3"/>
      <c r="C1112" s="3"/>
      <c r="D1112" s="3"/>
      <c r="E1112" s="3"/>
      <c r="F1112" s="3"/>
      <c r="G1112" s="3"/>
      <c r="H1112" s="3"/>
      <c r="I1112" s="3"/>
      <c r="J1112" s="3"/>
      <c r="K1112" s="3"/>
      <c r="L1112" s="3"/>
      <c r="M1112" s="3"/>
      <c r="N1112" s="3"/>
      <c r="O1112" s="3"/>
      <c r="P1112" s="3"/>
      <c r="Q1112" s="3"/>
      <c r="R1112" s="2"/>
      <c r="S1112" s="3"/>
      <c r="T1112" s="3"/>
      <c r="U1112" s="3"/>
      <c r="V1112" s="3"/>
      <c r="W1112" s="3"/>
      <c r="X1112" s="3"/>
      <c r="Y1112" s="3"/>
      <c r="Z1112" s="3"/>
    </row>
    <row r="1113" customFormat="false" ht="15.75" hidden="false" customHeight="true" outlineLevel="0" collapsed="false">
      <c r="A1113" s="3"/>
      <c r="B1113" s="3"/>
      <c r="C1113" s="3"/>
      <c r="D1113" s="3"/>
      <c r="E1113" s="3"/>
      <c r="F1113" s="3"/>
      <c r="G1113" s="3"/>
      <c r="H1113" s="3"/>
      <c r="I1113" s="3"/>
      <c r="J1113" s="3"/>
      <c r="K1113" s="3"/>
      <c r="L1113" s="3"/>
      <c r="M1113" s="3"/>
      <c r="N1113" s="3"/>
      <c r="O1113" s="3"/>
      <c r="P1113" s="3"/>
      <c r="Q1113" s="3"/>
      <c r="R1113" s="2"/>
      <c r="S1113" s="3"/>
      <c r="T1113" s="3"/>
      <c r="U1113" s="3"/>
      <c r="V1113" s="3"/>
      <c r="W1113" s="3"/>
      <c r="X1113" s="3"/>
      <c r="Y1113" s="3"/>
      <c r="Z1113" s="3"/>
    </row>
    <row r="1114" customFormat="false" ht="15.75" hidden="false" customHeight="true" outlineLevel="0" collapsed="false">
      <c r="A1114" s="3"/>
      <c r="B1114" s="3"/>
      <c r="C1114" s="3"/>
      <c r="D1114" s="3"/>
      <c r="E1114" s="3"/>
      <c r="F1114" s="3"/>
      <c r="G1114" s="3"/>
      <c r="H1114" s="3"/>
      <c r="I1114" s="3"/>
      <c r="J1114" s="3"/>
      <c r="K1114" s="3"/>
      <c r="L1114" s="3"/>
      <c r="M1114" s="3"/>
      <c r="N1114" s="3"/>
      <c r="O1114" s="3"/>
      <c r="P1114" s="3"/>
      <c r="Q1114" s="3"/>
      <c r="R1114" s="2"/>
      <c r="S1114" s="3"/>
      <c r="T1114" s="3"/>
      <c r="U1114" s="3"/>
      <c r="V1114" s="3"/>
      <c r="W1114" s="3"/>
      <c r="X1114" s="3"/>
      <c r="Y1114" s="3"/>
      <c r="Z1114" s="3"/>
    </row>
    <row r="1115" customFormat="false" ht="15.75" hidden="false" customHeight="true" outlineLevel="0" collapsed="false">
      <c r="A1115" s="3"/>
      <c r="B1115" s="3"/>
      <c r="C1115" s="3"/>
      <c r="D1115" s="3"/>
      <c r="E1115" s="3"/>
      <c r="F1115" s="3"/>
      <c r="G1115" s="3"/>
      <c r="H1115" s="3"/>
      <c r="I1115" s="3"/>
      <c r="J1115" s="3"/>
      <c r="K1115" s="3"/>
      <c r="L1115" s="3"/>
      <c r="M1115" s="3"/>
      <c r="N1115" s="3"/>
      <c r="O1115" s="3"/>
      <c r="P1115" s="3"/>
      <c r="Q1115" s="3"/>
      <c r="R1115" s="2"/>
      <c r="S1115" s="3"/>
      <c r="T1115" s="3"/>
      <c r="U1115" s="3"/>
      <c r="V1115" s="3"/>
      <c r="W1115" s="3"/>
      <c r="X1115" s="3"/>
      <c r="Y1115" s="3"/>
      <c r="Z1115" s="3"/>
    </row>
    <row r="1116" customFormat="false" ht="15.75" hidden="false" customHeight="true" outlineLevel="0" collapsed="false">
      <c r="A1116" s="3"/>
      <c r="B1116" s="3"/>
      <c r="C1116" s="3"/>
      <c r="D1116" s="3"/>
      <c r="E1116" s="3"/>
      <c r="F1116" s="3"/>
      <c r="G1116" s="3"/>
      <c r="H1116" s="3"/>
      <c r="I1116" s="3"/>
      <c r="J1116" s="3"/>
      <c r="K1116" s="3"/>
      <c r="L1116" s="3"/>
      <c r="M1116" s="3"/>
      <c r="N1116" s="3"/>
      <c r="O1116" s="3"/>
      <c r="P1116" s="3"/>
      <c r="Q1116" s="3"/>
      <c r="R1116" s="2"/>
      <c r="S1116" s="3"/>
      <c r="T1116" s="3"/>
      <c r="U1116" s="3"/>
      <c r="V1116" s="3"/>
      <c r="W1116" s="3"/>
      <c r="X1116" s="3"/>
      <c r="Y1116" s="3"/>
      <c r="Z1116" s="3"/>
    </row>
    <row r="1117" customFormat="false" ht="15.75" hidden="false" customHeight="true" outlineLevel="0" collapsed="false">
      <c r="A1117" s="3"/>
      <c r="B1117" s="3"/>
      <c r="C1117" s="3"/>
      <c r="D1117" s="3"/>
      <c r="E1117" s="3"/>
      <c r="F1117" s="3"/>
      <c r="G1117" s="3"/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2"/>
      <c r="S1117" s="3"/>
      <c r="T1117" s="3"/>
      <c r="U1117" s="3"/>
      <c r="V1117" s="3"/>
      <c r="W1117" s="3"/>
      <c r="X1117" s="3"/>
      <c r="Y1117" s="3"/>
      <c r="Z1117" s="3"/>
    </row>
    <row r="1118" customFormat="false" ht="15.75" hidden="false" customHeight="true" outlineLevel="0" collapsed="false">
      <c r="A1118" s="3"/>
      <c r="B1118" s="3"/>
      <c r="C1118" s="3"/>
      <c r="D1118" s="3"/>
      <c r="E1118" s="3"/>
      <c r="F1118" s="3"/>
      <c r="G1118" s="3"/>
      <c r="H1118" s="3"/>
      <c r="I1118" s="3"/>
      <c r="J1118" s="3"/>
      <c r="K1118" s="3"/>
      <c r="L1118" s="3"/>
      <c r="M1118" s="3"/>
      <c r="N1118" s="3"/>
      <c r="O1118" s="3"/>
      <c r="P1118" s="3"/>
      <c r="Q1118" s="3"/>
      <c r="R1118" s="2"/>
      <c r="S1118" s="3"/>
      <c r="T1118" s="3"/>
      <c r="U1118" s="3"/>
      <c r="V1118" s="3"/>
      <c r="W1118" s="3"/>
      <c r="X1118" s="3"/>
      <c r="Y1118" s="3"/>
      <c r="Z1118" s="3"/>
    </row>
    <row r="1119" customFormat="false" ht="15.75" hidden="false" customHeight="true" outlineLevel="0" collapsed="false">
      <c r="A1119" s="3"/>
      <c r="B1119" s="3"/>
      <c r="C1119" s="3"/>
      <c r="D1119" s="3"/>
      <c r="E1119" s="3"/>
      <c r="F1119" s="3"/>
      <c r="G1119" s="3"/>
      <c r="H1119" s="3"/>
      <c r="I1119" s="3"/>
      <c r="J1119" s="3"/>
      <c r="K1119" s="3"/>
      <c r="L1119" s="3"/>
      <c r="M1119" s="3"/>
      <c r="N1119" s="3"/>
      <c r="O1119" s="3"/>
      <c r="P1119" s="3"/>
      <c r="Q1119" s="3"/>
      <c r="R1119" s="2"/>
      <c r="S1119" s="3"/>
      <c r="T1119" s="3"/>
      <c r="U1119" s="3"/>
      <c r="V1119" s="3"/>
      <c r="W1119" s="3"/>
      <c r="X1119" s="3"/>
      <c r="Y1119" s="3"/>
      <c r="Z1119" s="3"/>
    </row>
    <row r="1120" customFormat="false" ht="15.75" hidden="false" customHeight="true" outlineLevel="0" collapsed="false">
      <c r="A1120" s="3"/>
      <c r="B1120" s="3"/>
      <c r="C1120" s="3"/>
      <c r="D1120" s="3"/>
      <c r="E1120" s="3"/>
      <c r="F1120" s="3"/>
      <c r="G1120" s="3"/>
      <c r="H1120" s="3"/>
      <c r="I1120" s="3"/>
      <c r="J1120" s="3"/>
      <c r="K1120" s="3"/>
      <c r="L1120" s="3"/>
      <c r="M1120" s="3"/>
      <c r="N1120" s="3"/>
      <c r="O1120" s="3"/>
      <c r="P1120" s="3"/>
      <c r="Q1120" s="3"/>
      <c r="R1120" s="2"/>
      <c r="S1120" s="3"/>
      <c r="T1120" s="3"/>
      <c r="U1120" s="3"/>
      <c r="V1120" s="3"/>
      <c r="W1120" s="3"/>
      <c r="X1120" s="3"/>
      <c r="Y1120" s="3"/>
      <c r="Z1120" s="3"/>
    </row>
    <row r="1121" customFormat="false" ht="15.75" hidden="false" customHeight="true" outlineLevel="0" collapsed="false">
      <c r="A1121" s="3"/>
      <c r="B1121" s="3"/>
      <c r="C1121" s="3"/>
      <c r="D1121" s="3"/>
      <c r="E1121" s="3"/>
      <c r="F1121" s="3"/>
      <c r="G1121" s="3"/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2"/>
      <c r="S1121" s="3"/>
      <c r="T1121" s="3"/>
      <c r="U1121" s="3"/>
      <c r="V1121" s="3"/>
      <c r="W1121" s="3"/>
      <c r="X1121" s="3"/>
      <c r="Y1121" s="3"/>
      <c r="Z1121" s="3"/>
    </row>
    <row r="1122" customFormat="false" ht="15.75" hidden="false" customHeight="true" outlineLevel="0" collapsed="false">
      <c r="A1122" s="3"/>
      <c r="B1122" s="3"/>
      <c r="C1122" s="3"/>
      <c r="D1122" s="3"/>
      <c r="E1122" s="3"/>
      <c r="F1122" s="3"/>
      <c r="G1122" s="3"/>
      <c r="H1122" s="3"/>
      <c r="I1122" s="3"/>
      <c r="J1122" s="3"/>
      <c r="K1122" s="3"/>
      <c r="L1122" s="3"/>
      <c r="M1122" s="3"/>
      <c r="N1122" s="3"/>
      <c r="O1122" s="3"/>
      <c r="P1122" s="3"/>
      <c r="Q1122" s="3"/>
      <c r="R1122" s="2"/>
      <c r="S1122" s="3"/>
      <c r="T1122" s="3"/>
      <c r="U1122" s="3"/>
      <c r="V1122" s="3"/>
      <c r="W1122" s="3"/>
      <c r="X1122" s="3"/>
      <c r="Y1122" s="3"/>
      <c r="Z1122" s="3"/>
    </row>
  </sheetData>
  <mergeCells count="33">
    <mergeCell ref="A1:Q1"/>
    <mergeCell ref="B2:Q3"/>
    <mergeCell ref="B5:C5"/>
    <mergeCell ref="D5:P5"/>
    <mergeCell ref="B7:C7"/>
    <mergeCell ref="D7:P7"/>
    <mergeCell ref="B9:C9"/>
    <mergeCell ref="D9:P9"/>
    <mergeCell ref="B11:C11"/>
    <mergeCell ref="D11:P11"/>
    <mergeCell ref="B13:C13"/>
    <mergeCell ref="D13:P13"/>
    <mergeCell ref="B15:C15"/>
    <mergeCell ref="D15:P15"/>
    <mergeCell ref="B17:C17"/>
    <mergeCell ref="D17:P17"/>
    <mergeCell ref="B19:C19"/>
    <mergeCell ref="D19:P19"/>
    <mergeCell ref="D21:P21"/>
    <mergeCell ref="S21:X21"/>
    <mergeCell ref="S23:X23"/>
    <mergeCell ref="S25:T25"/>
    <mergeCell ref="S26:T26"/>
    <mergeCell ref="S27:T27"/>
    <mergeCell ref="S28:T28"/>
    <mergeCell ref="S29:T29"/>
    <mergeCell ref="S30:T30"/>
    <mergeCell ref="S31:T31"/>
    <mergeCell ref="S32:T32"/>
    <mergeCell ref="S33:T33"/>
    <mergeCell ref="S34:T34"/>
    <mergeCell ref="S35:T35"/>
    <mergeCell ref="S37:T37"/>
  </mergeCells>
  <conditionalFormatting sqref="L25:L176">
    <cfRule type="expression" priority="2" aboveAverage="0" equalAverage="0" bottom="0" percent="0" rank="0" text="" dxfId="0">
      <formula>$L24&lt;&gt;($H24+($I24*$J24))*$K24</formula>
    </cfRule>
    <cfRule type="expression" priority="3" aboveAverage="0" equalAverage="0" bottom="0" percent="0" rank="0" text="" dxfId="0">
      <formula>$L24&lt;&gt;$M24+$N24+$O24</formula>
    </cfRule>
    <cfRule type="expression" priority="4" aboveAverage="0" equalAverage="0" bottom="0" percent="0" rank="0" text="" dxfId="1">
      <formula>$L24=($H24+($I24*$J24))*$K24</formula>
    </cfRule>
    <cfRule type="expression" priority="5" aboveAverage="0" equalAverage="0" bottom="0" percent="0" rank="0" text="" dxfId="1">
      <formula>$L24=$M24+$N24+$O24</formula>
    </cfRule>
  </conditionalFormatting>
  <conditionalFormatting sqref="P24:P176">
    <cfRule type="cellIs" priority="6" operator="lessThan" aboveAverage="0" equalAverage="0" bottom="0" percent="0" rank="0" text="" dxfId="2">
      <formula>45658</formula>
    </cfRule>
    <cfRule type="cellIs" priority="7" operator="greaterThan" aboveAverage="0" equalAverage="0" bottom="0" percent="0" rank="0" text="" dxfId="2">
      <formula>46012</formula>
    </cfRule>
  </conditionalFormatting>
  <conditionalFormatting sqref="Q24:Q176">
    <cfRule type="cellIs" priority="8" operator="greaterThan" aboveAverage="0" equalAverage="0" bottom="0" percent="0" rank="0" text="" dxfId="2">
      <formula>46053</formula>
    </cfRule>
  </conditionalFormatting>
  <conditionalFormatting sqref="U37">
    <cfRule type="cellIs" priority="9" operator="notEqual" aboveAverage="0" equalAverage="0" bottom="0" percent="0" rank="0" text="" dxfId="0">
      <formula>$D$17</formula>
    </cfRule>
  </conditionalFormatting>
  <conditionalFormatting sqref="U37">
    <cfRule type="cellIs" priority="10" operator="equal" aboveAverage="0" equalAverage="0" bottom="0" percent="0" rank="0" text="" dxfId="1">
      <formula>$D$17</formula>
    </cfRule>
  </conditionalFormatting>
  <conditionalFormatting sqref="V37">
    <cfRule type="cellIs" priority="11" operator="notEqual" aboveAverage="0" equalAverage="0" bottom="0" percent="0" rank="0" text="" dxfId="0">
      <formula>$D$19</formula>
    </cfRule>
  </conditionalFormatting>
  <conditionalFormatting sqref="V37">
    <cfRule type="cellIs" priority="12" operator="equal" aboveAverage="0" equalAverage="0" bottom="0" percent="0" rank="0" text="" dxfId="1">
      <formula>$D$19</formula>
    </cfRule>
  </conditionalFormatting>
  <conditionalFormatting sqref="L25:L98">
    <cfRule type="expression" priority="13" aboveAverage="0" equalAverage="0" bottom="0" percent="0" rank="0" text="" dxfId="0">
      <formula>$L25&lt;&gt;($H25+($I25*$J25))*$K25</formula>
    </cfRule>
    <cfRule type="expression" priority="14" aboveAverage="0" equalAverage="0" bottom="0" percent="0" rank="0" text="" dxfId="0">
      <formula>$L25&lt;&gt;$M25+$N25+$O25</formula>
    </cfRule>
    <cfRule type="expression" priority="15" aboveAverage="0" equalAverage="0" bottom="0" percent="0" rank="0" text="" dxfId="1">
      <formula>$L25=($H25+($I25*$J25))*$K25</formula>
    </cfRule>
    <cfRule type="expression" priority="16" aboveAverage="0" equalAverage="0" bottom="0" percent="0" rank="0" text="" dxfId="1">
      <formula>$L25=$M25+$N25+$O25</formula>
    </cfRule>
  </conditionalFormatting>
  <conditionalFormatting sqref="L25:L98">
    <cfRule type="expression" priority="17" aboveAverage="0" equalAverage="0" bottom="0" percent="0" rank="0" text="" dxfId="0">
      <formula>$L24&lt;&gt;($H24+($I24*$J24))*$K24</formula>
    </cfRule>
    <cfRule type="expression" priority="18" aboveAverage="0" equalAverage="0" bottom="0" percent="0" rank="0" text="" dxfId="0">
      <formula>$L24&lt;&gt;$M24+$N24+$O24</formula>
    </cfRule>
    <cfRule type="expression" priority="19" aboveAverage="0" equalAverage="0" bottom="0" percent="0" rank="0" text="" dxfId="1">
      <formula>$L24=($H24+($I24*$J24))*$K24</formula>
    </cfRule>
    <cfRule type="expression" priority="20" aboveAverage="0" equalAverage="0" bottom="0" percent="0" rank="0" text="" dxfId="1">
      <formula>$L24=$M24+$N24+$O24</formula>
    </cfRule>
  </conditionalFormatting>
  <conditionalFormatting sqref="L25:L91 L92:L95">
    <cfRule type="expression" priority="21" aboveAverage="0" equalAverage="0" bottom="0" percent="0" rank="0" text="" dxfId="0">
      <formula>$L25&lt;&gt;($H25+($I25*$J25))*$K25</formula>
    </cfRule>
    <cfRule type="expression" priority="22" aboveAverage="0" equalAverage="0" bottom="0" percent="0" rank="0" text="" dxfId="0">
      <formula>$L25&lt;&gt;$M25+$N25+$O25</formula>
    </cfRule>
    <cfRule type="expression" priority="23" aboveAverage="0" equalAverage="0" bottom="0" percent="0" rank="0" text="" dxfId="1">
      <formula>$L25=($H25+($I25*$J25))*$K25</formula>
    </cfRule>
    <cfRule type="expression" priority="24" aboveAverage="0" equalAverage="0" bottom="0" percent="0" rank="0" text="" dxfId="1">
      <formula>$L25=$M25+$N25+$O25</formula>
    </cfRule>
  </conditionalFormatting>
  <conditionalFormatting sqref="L25:L91 L92:L95">
    <cfRule type="expression" priority="25" aboveAverage="0" equalAverage="0" bottom="0" percent="0" rank="0" text="" dxfId="0">
      <formula>$L25&lt;&gt;($H25+($I25*$J25))*$K25</formula>
    </cfRule>
    <cfRule type="expression" priority="26" aboveAverage="0" equalAverage="0" bottom="0" percent="0" rank="0" text="" dxfId="0">
      <formula>$L25&lt;&gt;$M25+$N25+$O25</formula>
    </cfRule>
    <cfRule type="expression" priority="27" aboveAverage="0" equalAverage="0" bottom="0" percent="0" rank="0" text="" dxfId="1">
      <formula>$L25=($H25+($I25*$J25))*$K25</formula>
    </cfRule>
    <cfRule type="expression" priority="28" aboveAverage="0" equalAverage="0" bottom="0" percent="0" rank="0" text="" dxfId="1">
      <formula>$L25=$M25+$N25+$O25</formula>
    </cfRule>
  </conditionalFormatting>
  <conditionalFormatting sqref="L25:L91 L92:L95">
    <cfRule type="expression" priority="29" aboveAverage="0" equalAverage="0" bottom="0" percent="0" rank="0" text="" dxfId="0">
      <formula>$L25&lt;&gt;($H25+($I25*$J25))*$K25</formula>
    </cfRule>
    <cfRule type="expression" priority="30" aboveAverage="0" equalAverage="0" bottom="0" percent="0" rank="0" text="" dxfId="0">
      <formula>$L25&lt;&gt;$M25+$N25+$O25</formula>
    </cfRule>
    <cfRule type="expression" priority="31" aboveAverage="0" equalAverage="0" bottom="0" percent="0" rank="0" text="" dxfId="1">
      <formula>$L25=($H25+($I25*$J25))*$K25</formula>
    </cfRule>
    <cfRule type="expression" priority="32" aboveAverage="0" equalAverage="0" bottom="0" percent="0" rank="0" text="" dxfId="1">
      <formula>$L25=$M25+$N25+$O25</formula>
    </cfRule>
  </conditionalFormatting>
  <conditionalFormatting sqref="L25:L91 L92:L95">
    <cfRule type="expression" priority="33" aboveAverage="0" equalAverage="0" bottom="0" percent="0" rank="0" text="" dxfId="0">
      <formula>$L25&lt;&gt;($H25+($I25*$J25))*$K25</formula>
    </cfRule>
    <cfRule type="expression" priority="34" aboveAverage="0" equalAverage="0" bottom="0" percent="0" rank="0" text="" dxfId="0">
      <formula>$L25&lt;&gt;$M25+$N25+$O25</formula>
    </cfRule>
    <cfRule type="expression" priority="35" aboveAverage="0" equalAverage="0" bottom="0" percent="0" rank="0" text="" dxfId="1">
      <formula>$L25=($H25+($I25*$J25))*$K25</formula>
    </cfRule>
    <cfRule type="expression" priority="36" aboveAverage="0" equalAverage="0" bottom="0" percent="0" rank="0" text="" dxfId="1">
      <formula>$L25=$M25+$N25+$O25</formula>
    </cfRule>
  </conditionalFormatting>
  <conditionalFormatting sqref="L25:L91 L92:L95">
    <cfRule type="expression" priority="37" aboveAverage="0" equalAverage="0" bottom="0" percent="0" rank="0" text="" dxfId="0">
      <formula>$L25&lt;&gt;($H25+($I25*$J25))*$K25</formula>
    </cfRule>
    <cfRule type="expression" priority="38" aboveAverage="0" equalAverage="0" bottom="0" percent="0" rank="0" text="" dxfId="0">
      <formula>$L25&lt;&gt;$M25+$N25+$O25</formula>
    </cfRule>
    <cfRule type="expression" priority="39" aboveAverage="0" equalAverage="0" bottom="0" percent="0" rank="0" text="" dxfId="1">
      <formula>$L25=($H25+($I25*$J25))*$K25</formula>
    </cfRule>
    <cfRule type="expression" priority="40" aboveAverage="0" equalAverage="0" bottom="0" percent="0" rank="0" text="" dxfId="1">
      <formula>$L25=$M25+$N25+$O25</formula>
    </cfRule>
  </conditionalFormatting>
  <conditionalFormatting sqref="L24:L91 L92:L95">
    <cfRule type="expression" priority="41" aboveAverage="0" equalAverage="0" bottom="0" percent="0" rank="0" text="" dxfId="0">
      <formula>$L24&lt;&gt;($H24+($I24*$J24))*$K24</formula>
    </cfRule>
    <cfRule type="expression" priority="42" aboveAverage="0" equalAverage="0" bottom="0" percent="0" rank="0" text="" dxfId="0">
      <formula>$L24&lt;&gt;$M24+$N24+$O24</formula>
    </cfRule>
    <cfRule type="expression" priority="43" aboveAverage="0" equalAverage="0" bottom="0" percent="0" rank="0" text="" dxfId="1">
      <formula>$L24=($H24+($I24*$J24))*$K24</formula>
    </cfRule>
    <cfRule type="expression" priority="44" aboveAverage="0" equalAverage="0" bottom="0" percent="0" rank="0" text="" dxfId="1">
      <formula>$L24=$M24+$N24+$O24</formula>
    </cfRule>
  </conditionalFormatting>
  <dataValidations count="1">
    <dataValidation allowBlank="true" errorStyle="stop" operator="between" showDropDown="false" showErrorMessage="true" showInputMessage="false" sqref="G24:G178 G180:G181" type="list">
      <formula1>"Apartado A.1,Apartado A.2,Apartado A.3,Apartado A.4,Apartado A.5,Apartado A.6,Apartado A.7,Apartado A.8,Apartado A.9,Apartado A.10,Apartado A.11"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1000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A1" activeCellId="0" sqref="A1"/>
    </sheetView>
  </sheetViews>
  <sheetFormatPr defaultColWidth="14.4296875" defaultRowHeight="15" zeroHeight="false" outlineLevelRow="0" outlineLevelCol="0"/>
  <cols>
    <col collapsed="false" customWidth="true" hidden="false" outlineLevel="0" max="11" min="1" style="0" width="24.71"/>
    <col collapsed="false" customWidth="true" hidden="false" outlineLevel="0" max="26" min="12" style="0" width="10.7"/>
  </cols>
  <sheetData>
    <row r="1" customFormat="false" ht="78.75" hidden="false" customHeight="true" outlineLevel="0" collapsed="false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customFormat="false" ht="14.25" hidden="false" customHeight="true" outlineLevel="0" collapsed="false">
      <c r="A2" s="106"/>
      <c r="B2" s="106"/>
      <c r="C2" s="107"/>
      <c r="D2" s="106"/>
      <c r="E2" s="106"/>
      <c r="F2" s="108"/>
      <c r="G2" s="108"/>
      <c r="H2" s="106"/>
      <c r="I2" s="107"/>
      <c r="J2" s="107"/>
      <c r="K2" s="106"/>
    </row>
    <row r="3" customFormat="false" ht="14.25" hidden="false" customHeight="true" outlineLevel="0" collapsed="false">
      <c r="A3" s="106"/>
      <c r="B3" s="106"/>
      <c r="C3" s="107"/>
      <c r="D3" s="106"/>
      <c r="E3" s="106"/>
      <c r="F3" s="108"/>
      <c r="G3" s="108"/>
      <c r="H3" s="106"/>
      <c r="I3" s="107"/>
      <c r="J3" s="107"/>
      <c r="K3" s="106"/>
    </row>
    <row r="4" customFormat="false" ht="75" hidden="false" customHeight="true" outlineLevel="0" collapsed="false">
      <c r="A4" s="109" t="s">
        <v>298</v>
      </c>
      <c r="B4" s="109" t="s">
        <v>299</v>
      </c>
      <c r="C4" s="110" t="s">
        <v>22</v>
      </c>
      <c r="D4" s="111" t="s">
        <v>300</v>
      </c>
      <c r="E4" s="112" t="s">
        <v>301</v>
      </c>
      <c r="F4" s="113" t="s">
        <v>302</v>
      </c>
      <c r="G4" s="113" t="s">
        <v>303</v>
      </c>
      <c r="H4" s="112" t="s">
        <v>304</v>
      </c>
      <c r="I4" s="110" t="s">
        <v>305</v>
      </c>
      <c r="J4" s="110" t="s">
        <v>306</v>
      </c>
      <c r="K4" s="109" t="s">
        <v>307</v>
      </c>
    </row>
    <row r="5" customFormat="false" ht="14.25" hidden="false" customHeight="true" outlineLevel="0" collapsed="false">
      <c r="A5" s="114" t="str">
        <f aca="false">IFERROR(__xludf.dummyfunction("ARRAY_CONSTRAIN(ARRAYFORMULA(FILTER(Gastos!D24:D71,Gastos!$G$24:$G$71=""Apartado A.1"")), 1, 1)"),"44846886Z")</f>
        <v>44846886Z</v>
      </c>
      <c r="B5" s="114" t="str">
        <f aca="false">IFERROR(__xludf.dummyfunction("ARRAY_CONSTRAIN(ARRAYFORMULA(FILTER(Gastos!F24:F71,Gastos!$G$24:$G$71=""Apartado A.1"")), 1, 1)"),"Nómina enero")</f>
        <v>Nómina enero</v>
      </c>
      <c r="C5" s="115" t="n">
        <f aca="false">IFERROR(__xludf.dummyfunction("ARRAY_CONSTRAIN(ARRAYFORMULA(FILTER(Gastos!H24:H71,Gastos!$G$24:$G$71=""Apartado A.1"")), 1, 1)"),1902.12)</f>
        <v>1902.12</v>
      </c>
      <c r="D5" s="116" t="n">
        <v>1</v>
      </c>
      <c r="E5" s="114" t="n">
        <v>35</v>
      </c>
      <c r="F5" s="117" t="n">
        <f aca="false">IF(A5="","",MIN(E5/(37.5),1))</f>
        <v>0.933333333333333</v>
      </c>
      <c r="G5" s="118" t="n">
        <v>0.2</v>
      </c>
      <c r="H5" s="116" t="s">
        <v>308</v>
      </c>
      <c r="I5" s="115" t="n">
        <f aca="false">IFERROR(__xludf.dummyfunction("ARRAY_CONSTRAIN(ARRAYFORMULA(FILTER(Gastos!M24:M71,Gastos!$G$24:$G$71=""Apartado A.1"")), 1, 1)"),190.21)</f>
        <v>190.21</v>
      </c>
      <c r="J5" s="119" t="e">
        <f aca="false" t="array" ref="J5:J5">IF(A5="","",ifs(AND(D5=1,H5="Pagas prorrateadas"),2705.41*(F5*G5),AND(D5=1,H5="Pagas no prorrateadas"),2318.93*(F5*G5),AND(D5=2,H5="Pagas prorrateadas"),2246.07*(F5*G5),AND(D5=2,H5="Pagas no prorrateadas"),1925.21*(F5*G5),AND(D5=3,H5="Pagas prorrateadas"),1775.44*(F5*G5),AND(D5=3,H5="Pagas no prorrateadas"),1521.81*(F5*G5),AND(D5=5,H5="Pagas prorrateadas"),1535.9*(F5*G5),AND(D5=5,H5="Pagas no prorrateadas"),1316.49*(F5*G5),AND(D5=7,H5="Pagas prorrateadas"),1493.61*(F5*G5),AND(D5=7,H5="Pagas no prorrateadas"),1280.24*(F5*G5)))</f>
        <v>#NAME?</v>
      </c>
      <c r="K5" s="115" t="s">
        <v>309</v>
      </c>
    </row>
    <row r="6" customFormat="false" ht="14.25" hidden="false" customHeight="true" outlineLevel="0" collapsed="false">
      <c r="A6" s="114" t="str">
        <f aca="false">IFERROR(__xludf.dummyfunction("ARRAY_CONSTRAIN(ARRAYFORMULA(FILTER(Gastos!D25:D72,Gastos!$G$24:$G$71=""Apartado A.1"")), 1, 1)"),"44846886Z")</f>
        <v>44846886Z</v>
      </c>
      <c r="B6" s="114" t="str">
        <f aca="false">IFERROR(__xludf.dummyfunction("ARRAY_CONSTRAIN(ARRAYFORMULA(FILTER(Gastos!F25:F72,Gastos!$G$24:$G$71=""Apartado A.1"")), 1, 1)"),"Nómina febrero")</f>
        <v>Nómina febrero</v>
      </c>
      <c r="C6" s="115" t="n">
        <f aca="false">IFERROR(__xludf.dummyfunction("ARRAY_CONSTRAIN(ARRAYFORMULA(FILTER(Gastos!H25:H72,Gastos!$G$24:$G$71=""Apartado A.1"")), 1, 1)"),1902.12)</f>
        <v>1902.12</v>
      </c>
      <c r="D6" s="116" t="n">
        <v>1</v>
      </c>
      <c r="E6" s="114" t="n">
        <v>35</v>
      </c>
      <c r="F6" s="117" t="n">
        <f aca="false">IF(A6="","",MIN(E6/(37.5),1))</f>
        <v>0.933333333333333</v>
      </c>
      <c r="G6" s="118" t="n">
        <v>0.2</v>
      </c>
      <c r="H6" s="116" t="s">
        <v>308</v>
      </c>
      <c r="I6" s="115" t="n">
        <f aca="false">IFERROR(__xludf.dummyfunction("ARRAY_CONSTRAIN(ARRAYFORMULA(FILTER(Gastos!M25:M72,Gastos!$G$24:$G$71=""Apartado A.1"")), 1, 1)"),190.21)</f>
        <v>190.21</v>
      </c>
      <c r="J6" s="119" t="e">
        <f aca="false" t="array" ref="J6:J6">IF(A6="","",ifs(AND(D6=1,H6="Pagas prorrateadas"),2705.41*(F6*G6),AND(D6=1,H6="Pagas no prorrateadas"),2318.93*(F6*G6),AND(D6=2,H6="Pagas prorrateadas"),2246.07*(F6*G6),AND(D6=2,H6="Pagas no prorrateadas"),1925.21*(F6*G6),AND(D6=3,H6="Pagas prorrateadas"),1775.44*(F6*G6),AND(D6=3,H6="Pagas no prorrateadas"),1521.81*(F6*G6),AND(D6=5,H6="Pagas prorrateadas"),1535.9*(F6*G6),AND(D6=5,H6="Pagas no prorrateadas"),1316.49*(F6*G6),AND(D6=7,H6="Pagas prorrateadas"),1493.61*(F6*G6),AND(D6=7,H6="Pagas no prorrateadas"),1280.24*(F6*G6)))</f>
        <v>#NAME?</v>
      </c>
      <c r="K6" s="115" t="s">
        <v>309</v>
      </c>
    </row>
    <row r="7" customFormat="false" ht="14.25" hidden="false" customHeight="true" outlineLevel="0" collapsed="false">
      <c r="A7" s="114" t="str">
        <f aca="false">IFERROR(__xludf.dummyfunction("ARRAY_CONSTRAIN(ARRAYFORMULA(FILTER(Gastos!D26:D73,Gastos!$G$24:$G$71=""Apartado A.1"")), 1, 1)"),"44846886Z")</f>
        <v>44846886Z</v>
      </c>
      <c r="B7" s="114" t="str">
        <f aca="false">IFERROR(__xludf.dummyfunction("ARRAY_CONSTRAIN(ARRAYFORMULA(FILTER(Gastos!F26:F73,Gastos!$G$24:$G$71=""Apartado A.1"")), 1, 1)"),"Nómina marzo")</f>
        <v>Nómina marzo</v>
      </c>
      <c r="C7" s="115" t="n">
        <f aca="false">IFERROR(__xludf.dummyfunction("ARRAY_CONSTRAIN(ARRAYFORMULA(FILTER(Gastos!H26:H73,Gastos!$G$24:$G$71=""Apartado A.1"")), 1, 1)"),1902.12)</f>
        <v>1902.12</v>
      </c>
      <c r="D7" s="116" t="n">
        <v>1</v>
      </c>
      <c r="E7" s="114" t="n">
        <v>35</v>
      </c>
      <c r="F7" s="117" t="n">
        <f aca="false">IF(A7="","",MIN(E7/(37.5),1))</f>
        <v>0.933333333333333</v>
      </c>
      <c r="G7" s="118" t="n">
        <v>0.2</v>
      </c>
      <c r="H7" s="116" t="s">
        <v>308</v>
      </c>
      <c r="I7" s="115" t="n">
        <f aca="false">IFERROR(__xludf.dummyfunction("ARRAY_CONSTRAIN(ARRAYFORMULA(FILTER(Gastos!M26:M73,Gastos!$G$24:$G$71=""Apartado A.1"")), 1, 1)"),190.21)</f>
        <v>190.21</v>
      </c>
      <c r="J7" s="119" t="e">
        <f aca="false" t="array" ref="J7:J7">IF(A7="","",ifs(AND(D7=1,H7="Pagas prorrateadas"),2705.41*(F7*G7),AND(D7=1,H7="Pagas no prorrateadas"),2318.93*(F7*G7),AND(D7=2,H7="Pagas prorrateadas"),2246.07*(F7*G7),AND(D7=2,H7="Pagas no prorrateadas"),1925.21*(F7*G7),AND(D7=3,H7="Pagas prorrateadas"),1775.44*(F7*G7),AND(D7=3,H7="Pagas no prorrateadas"),1521.81*(F7*G7),AND(D7=5,H7="Pagas prorrateadas"),1535.9*(F7*G7),AND(D7=5,H7="Pagas no prorrateadas"),1316.49*(F7*G7),AND(D7=7,H7="Pagas prorrateadas"),1493.61*(F7*G7),AND(D7=7,H7="Pagas no prorrateadas"),1280.24*(F7*G7)))</f>
        <v>#NAME?</v>
      </c>
      <c r="K7" s="115" t="s">
        <v>309</v>
      </c>
    </row>
    <row r="8" customFormat="false" ht="14.25" hidden="false" customHeight="true" outlineLevel="0" collapsed="false">
      <c r="A8" s="114" t="str">
        <f aca="false">IFERROR(__xludf.dummyfunction("ARRAY_CONSTRAIN(ARRAYFORMULA(FILTER(Gastos!D27:D74,Gastos!$G$24:$G$71=""Apartado A.1"")), 1, 1)"),"44846886Z")</f>
        <v>44846886Z</v>
      </c>
      <c r="B8" s="114" t="str">
        <f aca="false">IFERROR(__xludf.dummyfunction("ARRAY_CONSTRAIN(ARRAYFORMULA(FILTER(Gastos!F27:F74,Gastos!$G$24:$G$71=""Apartado A.1"")), 1, 1)"),"Nómina abril")</f>
        <v>Nómina abril</v>
      </c>
      <c r="C8" s="115" t="n">
        <f aca="false">IFERROR(__xludf.dummyfunction("ARRAY_CONSTRAIN(ARRAYFORMULA(FILTER(Gastos!H27:H74,Gastos!$G$24:$G$71=""Apartado A.1"")), 1, 1)"),1902.12)</f>
        <v>1902.12</v>
      </c>
      <c r="D8" s="116" t="n">
        <v>1</v>
      </c>
      <c r="E8" s="114" t="n">
        <v>35</v>
      </c>
      <c r="F8" s="117" t="n">
        <f aca="false">IF(A8="","",MIN(E8/(37.5),1))</f>
        <v>0.933333333333333</v>
      </c>
      <c r="G8" s="118" t="n">
        <v>0.2</v>
      </c>
      <c r="H8" s="116" t="s">
        <v>308</v>
      </c>
      <c r="I8" s="115" t="n">
        <f aca="false">IFERROR(__xludf.dummyfunction("ARRAY_CONSTRAIN(ARRAYFORMULA(FILTER(Gastos!M27:M74,Gastos!$G$24:$G$71=""Apartado A.1"")), 1, 1)"),190.21)</f>
        <v>190.21</v>
      </c>
      <c r="J8" s="119" t="e">
        <f aca="false" t="array" ref="J8:J8">IF(A8="","",ifs(AND(D8=1,H8="Pagas prorrateadas"),2705.41*(F8*G8),AND(D8=1,H8="Pagas no prorrateadas"),2318.93*(F8*G8),AND(D8=2,H8="Pagas prorrateadas"),2246.07*(F8*G8),AND(D8=2,H8="Pagas no prorrateadas"),1925.21*(F8*G8),AND(D8=3,H8="Pagas prorrateadas"),1775.44*(F8*G8),AND(D8=3,H8="Pagas no prorrateadas"),1521.81*(F8*G8),AND(D8=5,H8="Pagas prorrateadas"),1535.9*(F8*G8),AND(D8=5,H8="Pagas no prorrateadas"),1316.49*(F8*G8),AND(D8=7,H8="Pagas prorrateadas"),1493.61*(F8*G8),AND(D8=7,H8="Pagas no prorrateadas"),1280.24*(F8*G8)))</f>
        <v>#NAME?</v>
      </c>
      <c r="K8" s="115" t="s">
        <v>309</v>
      </c>
    </row>
    <row r="9" customFormat="false" ht="14.25" hidden="false" customHeight="true" outlineLevel="0" collapsed="false">
      <c r="A9" s="114" t="str">
        <f aca="false">IFERROR(__xludf.dummyfunction("ARRAY_CONSTRAIN(ARRAYFORMULA(FILTER(Gastos!D28:D75,Gastos!$G$24:$G$71=""Apartado A.1"")), 1, 1)"),"44846886Z")</f>
        <v>44846886Z</v>
      </c>
      <c r="B9" s="114" t="str">
        <f aca="false">IFERROR(__xludf.dummyfunction("ARRAY_CONSTRAIN(ARRAYFORMULA(FILTER(Gastos!F28:F75,Gastos!$G$24:$G$71=""Apartado A.1"")), 1, 1)"),"Nómina mayo")</f>
        <v>Nómina mayo</v>
      </c>
      <c r="C9" s="115" t="n">
        <f aca="false">IFERROR(__xludf.dummyfunction("ARRAY_CONSTRAIN(ARRAYFORMULA(FILTER(Gastos!H28:H75,Gastos!$G$24:$G$71=""Apartado A.1"")), 1, 1)"),2062.11)</f>
        <v>2062.11</v>
      </c>
      <c r="D9" s="116" t="n">
        <v>1</v>
      </c>
      <c r="E9" s="114" t="n">
        <v>35</v>
      </c>
      <c r="F9" s="117" t="n">
        <f aca="false">IF(A9="","",MIN(E9/(37.5),1))</f>
        <v>0.933333333333333</v>
      </c>
      <c r="G9" s="118" t="n">
        <v>0.2</v>
      </c>
      <c r="H9" s="116" t="s">
        <v>308</v>
      </c>
      <c r="I9" s="115" t="n">
        <f aca="false">IFERROR(__xludf.dummyfunction("ARRAY_CONSTRAIN(ARRAYFORMULA(FILTER(Gastos!M28:M75,Gastos!$G$24:$G$71=""Apartado A.1"")), 1, 1)"),206.21)</f>
        <v>206.21</v>
      </c>
      <c r="J9" s="119" t="e">
        <f aca="false" t="array" ref="J9:J9">IF(A9="","",ifs(AND(D9=1,H9="Pagas prorrateadas"),2705.41*(F9*G9),AND(D9=1,H9="Pagas no prorrateadas"),2318.93*(F9*G9),AND(D9=2,H9="Pagas prorrateadas"),2246.07*(F9*G9),AND(D9=2,H9="Pagas no prorrateadas"),1925.21*(F9*G9),AND(D9=3,H9="Pagas prorrateadas"),1775.44*(F9*G9),AND(D9=3,H9="Pagas no prorrateadas"),1521.81*(F9*G9),AND(D9=5,H9="Pagas prorrateadas"),1535.9*(F9*G9),AND(D9=5,H9="Pagas no prorrateadas"),1316.49*(F9*G9),AND(D9=7,H9="Pagas prorrateadas"),1493.61*(F9*G9),AND(D9=7,H9="Pagas no prorrateadas"),1280.24*(F9*G9)))</f>
        <v>#NAME?</v>
      </c>
      <c r="K9" s="115" t="s">
        <v>309</v>
      </c>
    </row>
    <row r="10" customFormat="false" ht="14.25" hidden="false" customHeight="true" outlineLevel="0" collapsed="false">
      <c r="A10" s="114" t="str">
        <f aca="false">IFERROR(__xludf.dummyfunction("ARRAY_CONSTRAIN(ARRAYFORMULA(FILTER(Gastos!D29:D76,Gastos!$G$24:$G$71=""Apartado A.1"")), 1, 1)"),"44846886Z")</f>
        <v>44846886Z</v>
      </c>
      <c r="B10" s="114" t="str">
        <f aca="false">IFERROR(__xludf.dummyfunction("ARRAY_CONSTRAIN(ARRAYFORMULA(FILTER(Gastos!F29:F76,Gastos!$G$24:$G$71=""Apartado A.1"")), 1, 1)"),"Extra junio")</f>
        <v>Extra junio</v>
      </c>
      <c r="C10" s="115" t="n">
        <f aca="false">IFERROR(__xludf.dummyfunction("ARRAY_CONSTRAIN(ARRAYFORMULA(FILTER(Gastos!H29:H76,Gastos!$G$24:$G$71=""Apartado A.1"")), 1, 1)"),1902.12)</f>
        <v>1902.12</v>
      </c>
      <c r="D10" s="116" t="n">
        <v>1</v>
      </c>
      <c r="E10" s="114" t="n">
        <v>35</v>
      </c>
      <c r="F10" s="117" t="n">
        <f aca="false">IF(A10="","",MIN(E10/(37.5),1))</f>
        <v>0.933333333333333</v>
      </c>
      <c r="G10" s="118" t="n">
        <v>0.2</v>
      </c>
      <c r="H10" s="116" t="s">
        <v>308</v>
      </c>
      <c r="I10" s="115" t="n">
        <f aca="false">IFERROR(__xludf.dummyfunction("ARRAY_CONSTRAIN(ARRAYFORMULA(FILTER(Gastos!M29:M76,Gastos!$G$24:$G$71=""Apartado A.1"")), 1, 1)"),190.21)</f>
        <v>190.21</v>
      </c>
      <c r="J10" s="119" t="e">
        <f aca="false" t="array" ref="J10:J10">IF(A10="","",ifs(AND(D10=1,H10="Pagas prorrateadas"),2705.41*(F10*G10),AND(D10=1,H10="Pagas no prorrateadas"),2318.93*(F10*G10),AND(D10=2,H10="Pagas prorrateadas"),2246.07*(F10*G10),AND(D10=2,H10="Pagas no prorrateadas"),1925.21*(F10*G10),AND(D10=3,H10="Pagas prorrateadas"),1775.44*(F10*G10),AND(D10=3,H10="Pagas no prorrateadas"),1521.81*(F10*G10),AND(D10=5,H10="Pagas prorrateadas"),1535.9*(F10*G10),AND(D10=5,H10="Pagas no prorrateadas"),1316.49*(F10*G10),AND(D10=7,H10="Pagas prorrateadas"),1493.61*(F10*G10),AND(D10=7,H10="Pagas no prorrateadas"),1280.24*(F10*G10)))</f>
        <v>#NAME?</v>
      </c>
      <c r="K10" s="115" t="s">
        <v>309</v>
      </c>
    </row>
    <row r="11" customFormat="false" ht="14.25" hidden="false" customHeight="true" outlineLevel="0" collapsed="false">
      <c r="A11" s="114" t="str">
        <f aca="false">IFERROR(__xludf.dummyfunction("ARRAY_CONSTRAIN(ARRAYFORMULA(FILTER(Gastos!D30:D77,Gastos!$G$24:$G$71=""Apartado A.1"")), 1, 1)"),"44846886Z")</f>
        <v>44846886Z</v>
      </c>
      <c r="B11" s="114" t="str">
        <f aca="false">IFERROR(__xludf.dummyfunction("ARRAY_CONSTRAIN(ARRAYFORMULA(FILTER(Gastos!F30:F77,Gastos!$G$24:$G$71=""Apartado A.1"")), 1, 1)"),"Nómina junio")</f>
        <v>Nómina junio</v>
      </c>
      <c r="C11" s="115" t="n">
        <f aca="false">IFERROR(__xludf.dummyfunction("ARRAY_CONSTRAIN(ARRAYFORMULA(FILTER(Gastos!H30:H77,Gastos!$G$24:$G$71=""Apartado A.1"")), 1, 1)"),1955.45)</f>
        <v>1955.45</v>
      </c>
      <c r="D11" s="116" t="n">
        <v>1</v>
      </c>
      <c r="E11" s="114" t="n">
        <v>35</v>
      </c>
      <c r="F11" s="117" t="n">
        <f aca="false">IF(A11="","",MIN(E11/(37.5),1))</f>
        <v>0.933333333333333</v>
      </c>
      <c r="G11" s="118" t="n">
        <v>0.2</v>
      </c>
      <c r="H11" s="116" t="s">
        <v>308</v>
      </c>
      <c r="I11" s="115" t="n">
        <f aca="false">IFERROR(__xludf.dummyfunction("ARRAY_CONSTRAIN(ARRAYFORMULA(FILTER(Gastos!M30:M77,Gastos!$G$24:$G$71=""Apartado A.1"")), 1, 1)"),195.55)</f>
        <v>195.55</v>
      </c>
      <c r="J11" s="119" t="e">
        <f aca="false" t="array" ref="J11:J11">IF(A11="","",ifs(AND(D11=1,H11="Pagas prorrateadas"),2705.41*(F11*G11),AND(D11=1,H11="Pagas no prorrateadas"),2318.93*(F11*G11),AND(D11=2,H11="Pagas prorrateadas"),2246.07*(F11*G11),AND(D11=2,H11="Pagas no prorrateadas"),1925.21*(F11*G11),AND(D11=3,H11="Pagas prorrateadas"),1775.44*(F11*G11),AND(D11=3,H11="Pagas no prorrateadas"),1521.81*(F11*G11),AND(D11=5,H11="Pagas prorrateadas"),1535.9*(F11*G11),AND(D11=5,H11="Pagas no prorrateadas"),1316.49*(F11*G11),AND(D11=7,H11="Pagas prorrateadas"),1493.61*(F11*G11),AND(D11=7,H11="Pagas no prorrateadas"),1280.24*(F11*G11)))</f>
        <v>#NAME?</v>
      </c>
      <c r="K11" s="115" t="s">
        <v>309</v>
      </c>
    </row>
    <row r="12" customFormat="false" ht="14.25" hidden="false" customHeight="true" outlineLevel="0" collapsed="false">
      <c r="A12" s="114" t="str">
        <f aca="false">IFERROR(__xludf.dummyfunction("ARRAY_CONSTRAIN(ARRAYFORMULA(FILTER(Gastos!D31:D78,Gastos!$G$24:$G$71=""Apartado A.1"")), 1, 1)"),"44846886Z")</f>
        <v>44846886Z</v>
      </c>
      <c r="B12" s="114" t="str">
        <f aca="false">IFERROR(__xludf.dummyfunction("ARRAY_CONSTRAIN(ARRAYFORMULA(FILTER(Gastos!F31:F78,Gastos!$G$24:$G$71=""Apartado A.1"")), 1, 1)"),"Nómina julio")</f>
        <v>Nómina julio</v>
      </c>
      <c r="C12" s="115" t="n">
        <f aca="false">IFERROR(__xludf.dummyfunction("ARRAY_CONSTRAIN(ARRAYFORMULA(FILTER(Gastos!H31:H78,Gastos!$G$24:$G$71=""Apartado A.1"")), 1, 1)"),1955.45)</f>
        <v>1955.45</v>
      </c>
      <c r="D12" s="116" t="n">
        <v>1</v>
      </c>
      <c r="E12" s="114" t="n">
        <v>35</v>
      </c>
      <c r="F12" s="117" t="n">
        <f aca="false">IF(A12="","",MIN(E12/(37.5),1))</f>
        <v>0.933333333333333</v>
      </c>
      <c r="G12" s="118" t="n">
        <v>0.2</v>
      </c>
      <c r="H12" s="116" t="s">
        <v>308</v>
      </c>
      <c r="I12" s="115" t="n">
        <f aca="false">IFERROR(__xludf.dummyfunction("ARRAY_CONSTRAIN(ARRAYFORMULA(FILTER(Gastos!M31:M78,Gastos!$G$24:$G$71=""Apartado A.1"")), 1, 1)"),195.55)</f>
        <v>195.55</v>
      </c>
      <c r="J12" s="119" t="e">
        <f aca="false" t="array" ref="J12:J12">IF(A12="","",ifs(AND(D12=1,H12="Pagas prorrateadas"),2705.41*(F12*G12),AND(D12=1,H12="Pagas no prorrateadas"),2318.93*(F12*G12),AND(D12=2,H12="Pagas prorrateadas"),2246.07*(F12*G12),AND(D12=2,H12="Pagas no prorrateadas"),1925.21*(F12*G12),AND(D12=3,H12="Pagas prorrateadas"),1775.44*(F12*G12),AND(D12=3,H12="Pagas no prorrateadas"),1521.81*(F12*G12),AND(D12=5,H12="Pagas prorrateadas"),1535.9*(F12*G12),AND(D12=5,H12="Pagas no prorrateadas"),1316.49*(F12*G12),AND(D12=7,H12="Pagas prorrateadas"),1493.61*(F12*G12),AND(D12=7,H12="Pagas no prorrateadas"),1280.24*(F12*G12)))</f>
        <v>#NAME?</v>
      </c>
      <c r="K12" s="115" t="s">
        <v>309</v>
      </c>
    </row>
    <row r="13" customFormat="false" ht="14.25" hidden="false" customHeight="true" outlineLevel="0" collapsed="false">
      <c r="A13" s="114" t="str">
        <f aca="false">IFERROR(__xludf.dummyfunction("ARRAY_CONSTRAIN(ARRAYFORMULA(FILTER(Gastos!D32:D79,Gastos!$G$24:$G$71=""Apartado A.1"")), 1, 1)"),"44846886Z")</f>
        <v>44846886Z</v>
      </c>
      <c r="B13" s="114" t="str">
        <f aca="false">IFERROR(__xludf.dummyfunction("ARRAY_CONSTRAIN(ARRAYFORMULA(FILTER(Gastos!F32:F79,Gastos!$G$24:$G$71=""Apartado A.1"")), 1, 1)"),"Nómina agosto")</f>
        <v>Nómina agosto</v>
      </c>
      <c r="C13" s="115" t="n">
        <f aca="false">IFERROR(__xludf.dummyfunction("ARRAY_CONSTRAIN(ARRAYFORMULA(FILTER(Gastos!H32:H79,Gastos!$G$24:$G$71=""Apartado A.1"")), 1, 1)"),1955.45)</f>
        <v>1955.45</v>
      </c>
      <c r="D13" s="116" t="n">
        <v>1</v>
      </c>
      <c r="E13" s="114" t="n">
        <v>35</v>
      </c>
      <c r="F13" s="117" t="n">
        <f aca="false">IF(A13="","",MIN(E13/(37.5),1))</f>
        <v>0.933333333333333</v>
      </c>
      <c r="G13" s="118" t="n">
        <v>0.2</v>
      </c>
      <c r="H13" s="116" t="s">
        <v>308</v>
      </c>
      <c r="I13" s="115" t="n">
        <f aca="false">IFERROR(__xludf.dummyfunction("ARRAY_CONSTRAIN(ARRAYFORMULA(FILTER(Gastos!M32:M79,Gastos!$G$24:$G$71=""Apartado A.1"")), 1, 1)"),195.55)</f>
        <v>195.55</v>
      </c>
      <c r="J13" s="119" t="e">
        <f aca="false" t="array" ref="J13:J13">IF(A13="","",ifs(AND(D13=1,H13="Pagas prorrateadas"),2705.41*(F13*G13),AND(D13=1,H13="Pagas no prorrateadas"),2318.93*(F13*G13),AND(D13=2,H13="Pagas prorrateadas"),2246.07*(F13*G13),AND(D13=2,H13="Pagas no prorrateadas"),1925.21*(F13*G13),AND(D13=3,H13="Pagas prorrateadas"),1775.44*(F13*G13),AND(D13=3,H13="Pagas no prorrateadas"),1521.81*(F13*G13),AND(D13=5,H13="Pagas prorrateadas"),1535.9*(F13*G13),AND(D13=5,H13="Pagas no prorrateadas"),1316.49*(F13*G13),AND(D13=7,H13="Pagas prorrateadas"),1493.61*(F13*G13),AND(D13=7,H13="Pagas no prorrateadas"),1280.24*(F13*G13)))</f>
        <v>#NAME?</v>
      </c>
      <c r="K13" s="115" t="s">
        <v>309</v>
      </c>
    </row>
    <row r="14" customFormat="false" ht="14.25" hidden="false" customHeight="true" outlineLevel="0" collapsed="false">
      <c r="A14" s="114" t="str">
        <f aca="false">IFERROR(__xludf.dummyfunction("ARRAY_CONSTRAIN(ARRAYFORMULA(FILTER(Gastos!D33:D80,Gastos!$G$24:$G$71=""Apartado A.1"")), 1, 1)"),"44846886Z")</f>
        <v>44846886Z</v>
      </c>
      <c r="B14" s="114" t="str">
        <f aca="false">IFERROR(__xludf.dummyfunction("ARRAY_CONSTRAIN(ARRAYFORMULA(FILTER(Gastos!F33:F80,Gastos!$G$24:$G$71=""Apartado A.1"")), 1, 1)"),"Nómina septiembre")</f>
        <v>Nómina septiembre</v>
      </c>
      <c r="C14" s="115" t="n">
        <f aca="false">IFERROR(__xludf.dummyfunction("ARRAY_CONSTRAIN(ARRAYFORMULA(FILTER(Gastos!H33:H80,Gastos!$G$24:$G$71=""Apartado A.1"")), 1, 1)"),1955.45)</f>
        <v>1955.45</v>
      </c>
      <c r="D14" s="116" t="n">
        <v>1</v>
      </c>
      <c r="E14" s="114" t="n">
        <v>35</v>
      </c>
      <c r="F14" s="117" t="n">
        <f aca="false">IF(A14="","",MIN(E14/(37.5),1))</f>
        <v>0.933333333333333</v>
      </c>
      <c r="G14" s="118" t="n">
        <v>0.2</v>
      </c>
      <c r="H14" s="116" t="s">
        <v>308</v>
      </c>
      <c r="I14" s="115" t="n">
        <f aca="false">IFERROR(__xludf.dummyfunction("ARRAY_CONSTRAIN(ARRAYFORMULA(FILTER(Gastos!M33:M80,Gastos!$G$24:$G$71=""Apartado A.1"")), 1, 1)"),195.55)</f>
        <v>195.55</v>
      </c>
      <c r="J14" s="119" t="e">
        <f aca="false" t="array" ref="J14:J14">IF(A14="","",ifs(AND(D14=1,H14="Pagas prorrateadas"),2705.41*(F14*G14),AND(D14=1,H14="Pagas no prorrateadas"),2318.93*(F14*G14),AND(D14=2,H14="Pagas prorrateadas"),2246.07*(F14*G14),AND(D14=2,H14="Pagas no prorrateadas"),1925.21*(F14*G14),AND(D14=3,H14="Pagas prorrateadas"),1775.44*(F14*G14),AND(D14=3,H14="Pagas no prorrateadas"),1521.81*(F14*G14),AND(D14=5,H14="Pagas prorrateadas"),1535.9*(F14*G14),AND(D14=5,H14="Pagas no prorrateadas"),1316.49*(F14*G14),AND(D14=7,H14="Pagas prorrateadas"),1493.61*(F14*G14),AND(D14=7,H14="Pagas no prorrateadas"),1280.24*(F14*G14)))</f>
        <v>#NAME?</v>
      </c>
      <c r="K14" s="115" t="s">
        <v>309</v>
      </c>
    </row>
    <row r="15" customFormat="false" ht="14.25" hidden="false" customHeight="true" outlineLevel="0" collapsed="false">
      <c r="A15" s="114" t="str">
        <f aca="false">IFERROR(__xludf.dummyfunction("ARRAY_CONSTRAIN(ARRAYFORMULA(FILTER(Gastos!D34:D81,Gastos!$G$24:$G$71=""Apartado A.1"")), 1, 1)"),"44846886Z")</f>
        <v>44846886Z</v>
      </c>
      <c r="B15" s="114" t="str">
        <f aca="false">IFERROR(__xludf.dummyfunction("ARRAY_CONSTRAIN(ARRAYFORMULA(FILTER(Gastos!F34:F81,Gastos!$G$24:$G$71=""Apartado A.1"")), 1, 1)"),"Nómina octubre")</f>
        <v>Nómina octubre</v>
      </c>
      <c r="C15" s="115" t="n">
        <f aca="false">IFERROR(__xludf.dummyfunction("ARRAY_CONSTRAIN(ARRAYFORMULA(FILTER(Gastos!H34:H81,Gastos!$G$24:$G$71=""Apartado A.1"")), 1, 1)"),1914.23)</f>
        <v>1914.23</v>
      </c>
      <c r="D15" s="116" t="n">
        <v>1</v>
      </c>
      <c r="E15" s="114" t="n">
        <v>35</v>
      </c>
      <c r="F15" s="117" t="n">
        <f aca="false">IF(A15="","",MIN(E15/(37.5),1))</f>
        <v>0.933333333333333</v>
      </c>
      <c r="G15" s="118" t="n">
        <v>0.2</v>
      </c>
      <c r="H15" s="116" t="s">
        <v>308</v>
      </c>
      <c r="I15" s="115" t="n">
        <f aca="false">IFERROR(__xludf.dummyfunction("ARRAY_CONSTRAIN(ARRAYFORMULA(FILTER(Gastos!M34:M81,Gastos!$G$24:$G$71=""Apartado A.1"")), 1, 1)"),191.43)</f>
        <v>191.43</v>
      </c>
      <c r="J15" s="119" t="e">
        <f aca="false" t="array" ref="J15:J15">IF(A15="","",ifs(AND(D15=1,H15="Pagas prorrateadas"),2705.41*(F15*G15),AND(D15=1,H15="Pagas no prorrateadas"),2318.93*(F15*G15),AND(D15=2,H15="Pagas prorrateadas"),2246.07*(F15*G15),AND(D15=2,H15="Pagas no prorrateadas"),1925.21*(F15*G15),AND(D15=3,H15="Pagas prorrateadas"),1775.44*(F15*G15),AND(D15=3,H15="Pagas no prorrateadas"),1521.81*(F15*G15),AND(D15=5,H15="Pagas prorrateadas"),1535.9*(F15*G15),AND(D15=5,H15="Pagas no prorrateadas"),1316.49*(F15*G15),AND(D15=7,H15="Pagas prorrateadas"),1493.61*(F15*G15),AND(D15=7,H15="Pagas no prorrateadas"),1280.24*(F15*G15)))</f>
        <v>#NAME?</v>
      </c>
      <c r="K15" s="115" t="s">
        <v>309</v>
      </c>
    </row>
    <row r="16" customFormat="false" ht="14.25" hidden="false" customHeight="true" outlineLevel="0" collapsed="false">
      <c r="A16" s="114" t="str">
        <f aca="false">IFERROR(__xludf.dummyfunction("ARRAY_CONSTRAIN(ARRAYFORMULA(FILTER(Gastos!D35:D82,Gastos!$G$24:$G$71=""Apartado A.1"")), 1, 1)"),"44846886Z")</f>
        <v>44846886Z</v>
      </c>
      <c r="B16" s="114" t="str">
        <f aca="false">IFERROR(__xludf.dummyfunction("ARRAY_CONSTRAIN(ARRAYFORMULA(FILTER(Gastos!F35:F82,Gastos!$G$24:$G$71=""Apartado A.1"")), 1, 1)"),"Nómina noviembre")</f>
        <v>Nómina noviembre</v>
      </c>
      <c r="C16" s="115" t="n">
        <f aca="false">IFERROR(__xludf.dummyfunction("ARRAY_CONSTRAIN(ARRAYFORMULA(FILTER(Gastos!H35:H82,Gastos!$G$24:$G$71=""Apartado A.1"")), 1, 1)"),2020.59)</f>
        <v>2020.59</v>
      </c>
      <c r="D16" s="116" t="n">
        <v>1</v>
      </c>
      <c r="E16" s="114" t="n">
        <v>35</v>
      </c>
      <c r="F16" s="117" t="n">
        <f aca="false">IF(A16="","",MIN(E16/(37.5),1))</f>
        <v>0.933333333333333</v>
      </c>
      <c r="G16" s="118" t="n">
        <v>0.2</v>
      </c>
      <c r="H16" s="116" t="s">
        <v>308</v>
      </c>
      <c r="I16" s="115" t="n">
        <f aca="false">IFERROR(__xludf.dummyfunction("ARRAY_CONSTRAIN(ARRAYFORMULA(FILTER(Gastos!M35:M82,Gastos!$G$24:$G$71=""Apartado A.1"")), 1, 1)"),202.06)</f>
        <v>202.06</v>
      </c>
      <c r="J16" s="119" t="e">
        <f aca="false" t="array" ref="J16:J16">IF(A16="","",ifs(AND(D16=1,H16="Pagas prorrateadas"),2705.41*(F16*G16),AND(D16=1,H16="Pagas no prorrateadas"),2318.93*(F16*G16),AND(D16=2,H16="Pagas prorrateadas"),2246.07*(F16*G16),AND(D16=2,H16="Pagas no prorrateadas"),1925.21*(F16*G16),AND(D16=3,H16="Pagas prorrateadas"),1775.44*(F16*G16),AND(D16=3,H16="Pagas no prorrateadas"),1521.81*(F16*G16),AND(D16=5,H16="Pagas prorrateadas"),1535.9*(F16*G16),AND(D16=5,H16="Pagas no prorrateadas"),1316.49*(F16*G16),AND(D16=7,H16="Pagas prorrateadas"),1493.61*(F16*G16),AND(D16=7,H16="Pagas no prorrateadas"),1280.24*(F16*G16)))</f>
        <v>#NAME?</v>
      </c>
      <c r="K16" s="115" t="s">
        <v>309</v>
      </c>
    </row>
    <row r="17" customFormat="false" ht="14.25" hidden="false" customHeight="true" outlineLevel="0" collapsed="false">
      <c r="A17" s="114" t="str">
        <f aca="false">IFERROR(__xludf.dummyfunction("ARRAY_CONSTRAIN(ARRAYFORMULA(FILTER(Gastos!D36:D83,Gastos!$G$24:$G$71=""Apartado A.1"")), 1, 1)"),"44846886Z")</f>
        <v>44846886Z</v>
      </c>
      <c r="B17" s="114" t="str">
        <f aca="false">IFERROR(__xludf.dummyfunction("ARRAY_CONSTRAIN(ARRAYFORMULA(FILTER(Gastos!F36:F83,Gastos!$G$24:$G$71=""Apartado A.1"")), 1, 1)"),"Paga extra diciembre")</f>
        <v>Paga extra diciembre</v>
      </c>
      <c r="C17" s="115" t="n">
        <f aca="false">IFERROR(__xludf.dummyfunction("ARRAY_CONSTRAIN(ARRAYFORMULA(FILTER(Gastos!H36:H83,Gastos!$G$24:$G$71=""Apartado A.1"")), 1, 1)"),1891.56)</f>
        <v>1891.56</v>
      </c>
      <c r="D17" s="116" t="n">
        <v>1</v>
      </c>
      <c r="E17" s="114" t="n">
        <v>35</v>
      </c>
      <c r="F17" s="117" t="n">
        <f aca="false">IF(A17="","",MIN(E17/(37.5),1))</f>
        <v>0.933333333333333</v>
      </c>
      <c r="G17" s="118" t="n">
        <v>0.2</v>
      </c>
      <c r="H17" s="116" t="s">
        <v>308</v>
      </c>
      <c r="I17" s="115" t="n">
        <f aca="false">IFERROR(__xludf.dummyfunction("ARRAY_CONSTRAIN(ARRAYFORMULA(FILTER(Gastos!M36:M83,Gastos!$G$24:$G$71=""Apartado A.1"")), 1, 1)"),189.16)</f>
        <v>189.16</v>
      </c>
      <c r="J17" s="119" t="e">
        <f aca="false" t="array" ref="J17:J17">IF(A17="","",ifs(AND(D17=1,H17="Pagas prorrateadas"),2705.41*(F17*G17),AND(D17=1,H17="Pagas no prorrateadas"),2318.93*(F17*G17),AND(D17=2,H17="Pagas prorrateadas"),2246.07*(F17*G17),AND(D17=2,H17="Pagas no prorrateadas"),1925.21*(F17*G17),AND(D17=3,H17="Pagas prorrateadas"),1775.44*(F17*G17),AND(D17=3,H17="Pagas no prorrateadas"),1521.81*(F17*G17),AND(D17=5,H17="Pagas prorrateadas"),1535.9*(F17*G17),AND(D17=5,H17="Pagas no prorrateadas"),1316.49*(F17*G17),AND(D17=7,H17="Pagas prorrateadas"),1493.61*(F17*G17),AND(D17=7,H17="Pagas no prorrateadas"),1280.24*(F17*G17)))</f>
        <v>#NAME?</v>
      </c>
      <c r="K17" s="115" t="s">
        <v>309</v>
      </c>
    </row>
    <row r="18" customFormat="false" ht="14.25" hidden="false" customHeight="true" outlineLevel="0" collapsed="false">
      <c r="A18" s="114" t="str">
        <f aca="false">IFERROR(__xludf.dummyfunction("ARRAY_CONSTRAIN(ARRAYFORMULA(FILTER(Gastos!D37:D84,Gastos!$G$24:$G$71=""Apartado A.1"")), 1, 1)"),"44846886Z")</f>
        <v>44846886Z</v>
      </c>
      <c r="B18" s="114" t="str">
        <f aca="false">IFERROR(__xludf.dummyfunction("ARRAY_CONSTRAIN(ARRAYFORMULA(FILTER(Gastos!F37:F84,Gastos!$G$24:$G$71=""Apartado A.1"")), 1, 1)"),"Nómina diciembre")</f>
        <v>Nómina diciembre</v>
      </c>
      <c r="C18" s="115" t="n">
        <f aca="false">IFERROR(__xludf.dummyfunction("ARRAY_CONSTRAIN(ARRAYFORMULA(FILTER(Gastos!H37:H84,Gastos!$G$24:$G$71=""Apartado A.1"")), 1, 1)"),1955.45)</f>
        <v>1955.45</v>
      </c>
      <c r="D18" s="116" t="n">
        <v>1</v>
      </c>
      <c r="E18" s="114" t="n">
        <v>35</v>
      </c>
      <c r="F18" s="117" t="n">
        <f aca="false">IF(A18="","",MIN(E18/(37.5),1))</f>
        <v>0.933333333333333</v>
      </c>
      <c r="G18" s="118" t="n">
        <v>0.2</v>
      </c>
      <c r="H18" s="116" t="s">
        <v>308</v>
      </c>
      <c r="I18" s="115" t="n">
        <f aca="false">IFERROR(__xludf.dummyfunction("ARRAY_CONSTRAIN(ARRAYFORMULA(FILTER(Gastos!M37:M84,Gastos!$G$24:$G$71=""Apartado A.1"")), 1, 1)"),195.55)</f>
        <v>195.55</v>
      </c>
      <c r="J18" s="119" t="e">
        <f aca="false" t="array" ref="J18:J18">IF(A18="","",ifs(AND(D18=1,H18="Pagas prorrateadas"),2705.41*(F18*G18),AND(D18=1,H18="Pagas no prorrateadas"),2318.93*(F18*G18),AND(D18=2,H18="Pagas prorrateadas"),2246.07*(F18*G18),AND(D18=2,H18="Pagas no prorrateadas"),1925.21*(F18*G18),AND(D18=3,H18="Pagas prorrateadas"),1775.44*(F18*G18),AND(D18=3,H18="Pagas no prorrateadas"),1521.81*(F18*G18),AND(D18=5,H18="Pagas prorrateadas"),1535.9*(F18*G18),AND(D18=5,H18="Pagas no prorrateadas"),1316.49*(F18*G18),AND(D18=7,H18="Pagas prorrateadas"),1493.61*(F18*G18),AND(D18=7,H18="Pagas no prorrateadas"),1280.24*(F18*G18)))</f>
        <v>#NAME?</v>
      </c>
      <c r="K18" s="115" t="s">
        <v>309</v>
      </c>
    </row>
    <row r="19" customFormat="false" ht="14.25" hidden="false" customHeight="true" outlineLevel="0" collapsed="false">
      <c r="A19" s="114" t="str">
        <f aca="false">IFERROR(__xludf.dummyfunction("ARRAY_CONSTRAIN(ARRAYFORMULA(FILTER(Gastos!D38:D85,Gastos!$G$24:$G$71=""Apartado A.1"")), 1, 1)"),"28814473G")</f>
        <v>28814473G</v>
      </c>
      <c r="B19" s="114" t="str">
        <f aca="false">IFERROR(__xludf.dummyfunction("ARRAY_CONSTRAIN(ARRAYFORMULA(FILTER(Gastos!F38:F85,Gastos!$G$24:$G$71=""Apartado A.1"")), 1, 1)"),"Nómina enero")</f>
        <v>Nómina enero</v>
      </c>
      <c r="C19" s="115" t="n">
        <f aca="false">IFERROR(__xludf.dummyfunction("ARRAY_CONSTRAIN(ARRAYFORMULA(FILTER(Gastos!H38:H85,Gastos!$G$24:$G$71=""Apartado A.1"")), 1, 1)"),1358.5)</f>
        <v>1358.5</v>
      </c>
      <c r="D19" s="116" t="n">
        <v>1</v>
      </c>
      <c r="E19" s="114" t="n">
        <v>35</v>
      </c>
      <c r="F19" s="117" t="n">
        <f aca="false">IF(A19="","",MIN(E19/(37.5),1))</f>
        <v>0.933333333333333</v>
      </c>
      <c r="G19" s="118" t="n">
        <v>0.07</v>
      </c>
      <c r="H19" s="116" t="s">
        <v>308</v>
      </c>
      <c r="I19" s="115" t="n">
        <f aca="false">IFERROR(__xludf.dummyfunction("ARRAY_CONSTRAIN(ARRAYFORMULA(FILTER(Gastos!M38:M85,Gastos!$G$24:$G$71=""Apartado A.1"")), 1, 1)"),47.55)</f>
        <v>47.55</v>
      </c>
      <c r="J19" s="119" t="e">
        <f aca="false" t="array" ref="J19:J19">IF(A19="","",ifs(AND(D19=1,H19="Pagas prorrateadas"),2705.41*(F19*G19),AND(D19=1,H19="Pagas no prorrateadas"),2318.93*(F19*G19),AND(D19=2,H19="Pagas prorrateadas"),2246.07*(F19*G19),AND(D19=2,H19="Pagas no prorrateadas"),1925.21*(F19*G19),AND(D19=3,H19="Pagas prorrateadas"),1775.44*(F19*G19),AND(D19=3,H19="Pagas no prorrateadas"),1521.81*(F19*G19),AND(D19=5,H19="Pagas prorrateadas"),1535.9*(F19*G19),AND(D19=5,H19="Pagas no prorrateadas"),1316.49*(F19*G19),AND(D19=7,H19="Pagas prorrateadas"),1493.61*(F19*G19),AND(D19=7,H19="Pagas no prorrateadas"),1280.24*(F19*G19)))</f>
        <v>#NAME?</v>
      </c>
      <c r="K19" s="115" t="s">
        <v>309</v>
      </c>
    </row>
    <row r="20" customFormat="false" ht="14.25" hidden="false" customHeight="true" outlineLevel="0" collapsed="false">
      <c r="A20" s="114" t="str">
        <f aca="false">IFERROR(__xludf.dummyfunction("ARRAY_CONSTRAIN(ARRAYFORMULA(FILTER(Gastos!D39:D86,Gastos!$G$24:$G$71=""Apartado A.1"")), 1, 1)"),"28814473G")</f>
        <v>28814473G</v>
      </c>
      <c r="B20" s="114" t="str">
        <f aca="false">IFERROR(__xludf.dummyfunction("ARRAY_CONSTRAIN(ARRAYFORMULA(FILTER(Gastos!F39:F86,Gastos!$G$24:$G$71=""Apartado A.1"")), 1, 1)"),"Nómina febrero")</f>
        <v>Nómina febrero</v>
      </c>
      <c r="C20" s="115" t="n">
        <f aca="false">IFERROR(__xludf.dummyfunction("ARRAY_CONSTRAIN(ARRAYFORMULA(FILTER(Gastos!H39:H86,Gastos!$G$24:$G$71=""Apartado A.1"")), 1, 1)"),489.09)</f>
        <v>489.09</v>
      </c>
      <c r="D20" s="116" t="n">
        <v>1</v>
      </c>
      <c r="E20" s="114" t="n">
        <v>35</v>
      </c>
      <c r="F20" s="117" t="n">
        <f aca="false">IF(A20="","",MIN(E20/(37.5),1))</f>
        <v>0.933333333333333</v>
      </c>
      <c r="G20" s="118" t="n">
        <f aca="false">IFERROR(__xludf.dummyfunction("ARRAY_CONSTRAIN(ARRAYFORMULA(FILTER(Gastos!K39:K86,Gastos!$G$24:$G$71=""Apartado A.1"")), 1, 1)"),0.06011)</f>
        <v>0.06011</v>
      </c>
      <c r="H20" s="116" t="s">
        <v>308</v>
      </c>
      <c r="I20" s="115" t="n">
        <f aca="false">IFERROR(__xludf.dummyfunction("ARRAY_CONSTRAIN(ARRAYFORMULA(FILTER(Gastos!M39:M86,Gastos!$G$24:$G$71=""Apartado A.1"")), 1, 1)"),14.7991999)</f>
        <v>14.7991999</v>
      </c>
      <c r="J20" s="119" t="e">
        <f aca="false" t="array" ref="J20:J20">IF(A20="","",ifs(AND(D20=1,H20="Pagas prorrateadas"),2705.41*(F20*G20),AND(D20=1,H20="Pagas no prorrateadas"),2318.93*(F20*G20),AND(D20=2,H20="Pagas prorrateadas"),2246.07*(F20*G20),AND(D20=2,H20="Pagas no prorrateadas"),1925.21*(F20*G20),AND(D20=3,H20="Pagas prorrateadas"),1775.44*(F20*G20),AND(D20=3,H20="Pagas no prorrateadas"),1521.81*(F20*G20),AND(D20=5,H20="Pagas prorrateadas"),1535.9*(F20*G20),AND(D20=5,H20="Pagas no prorrateadas"),1316.49*(F20*G20),AND(D20=7,H20="Pagas prorrateadas"),1493.61*(F20*G20),AND(D20=7,H20="Pagas no prorrateadas"),1280.24*(F20*G20)))</f>
        <v>#NAME?</v>
      </c>
      <c r="K20" s="115" t="s">
        <v>309</v>
      </c>
    </row>
    <row r="21" customFormat="false" ht="14.25" hidden="false" customHeight="true" outlineLevel="0" collapsed="false">
      <c r="A21" s="114" t="str">
        <f aca="false">IFERROR(__xludf.dummyfunction("ARRAY_CONSTRAIN(ARRAYFORMULA(FILTER(Gastos!D40:D87,Gastos!$G$24:$G$71=""Apartado A.1"")), 1, 1)"),"28814473G")</f>
        <v>28814473G</v>
      </c>
      <c r="B21" s="114" t="str">
        <f aca="false">IFERROR(__xludf.dummyfunction("ARRAY_CONSTRAIN(ARRAYFORMULA(FILTER(Gastos!F40:F87,Gastos!$G$24:$G$71=""Apartado A.1"")), 1, 1)"),"Nómina febrero")</f>
        <v>Nómina febrero</v>
      </c>
      <c r="C21" s="115" t="n">
        <f aca="false">IFERROR(__xludf.dummyfunction("ARRAY_CONSTRAIN(ARRAYFORMULA(FILTER(Gastos!H40:H87,Gastos!$G$24:$G$71=""Apartado A.1"")), 1, 1)"),1331.49)</f>
        <v>1331.49</v>
      </c>
      <c r="D21" s="116" t="n">
        <v>1</v>
      </c>
      <c r="E21" s="114" t="n">
        <v>35</v>
      </c>
      <c r="F21" s="117" t="n">
        <f aca="false">IF(A21="","",MIN(E21/(37.5),1))</f>
        <v>0.933333333333333</v>
      </c>
      <c r="G21" s="118" t="n">
        <v>0.07</v>
      </c>
      <c r="H21" s="116" t="s">
        <v>308</v>
      </c>
      <c r="I21" s="115" t="n">
        <f aca="false">IFERROR(__xludf.dummyfunction("ARRAY_CONSTRAIN(ARRAYFORMULA(FILTER(Gastos!M40:M87,Gastos!$G$24:$G$71=""Apartado A.1"")), 1, 1)"),46.6)</f>
        <v>46.6</v>
      </c>
      <c r="J21" s="119" t="e">
        <f aca="false" t="array" ref="J21:J21">IF(A21="","",ifs(AND(D21=1,H21="Pagas prorrateadas"),2705.41*(F21*G21),AND(D21=1,H21="Pagas no prorrateadas"),2318.93*(F21*G21),AND(D21=2,H21="Pagas prorrateadas"),2246.07*(F21*G21),AND(D21=2,H21="Pagas no prorrateadas"),1925.21*(F21*G21),AND(D21=3,H21="Pagas prorrateadas"),1775.44*(F21*G21),AND(D21=3,H21="Pagas no prorrateadas"),1521.81*(F21*G21),AND(D21=5,H21="Pagas prorrateadas"),1535.9*(F21*G21),AND(D21=5,H21="Pagas no prorrateadas"),1316.49*(F21*G21),AND(D21=7,H21="Pagas prorrateadas"),1493.61*(F21*G21),AND(D21=7,H21="Pagas no prorrateadas"),1280.24*(F21*G21)))</f>
        <v>#NAME?</v>
      </c>
      <c r="K21" s="115" t="s">
        <v>309</v>
      </c>
    </row>
    <row r="22" customFormat="false" ht="14.25" hidden="false" customHeight="true" outlineLevel="0" collapsed="false">
      <c r="A22" s="114" t="str">
        <f aca="false">IFERROR(__xludf.dummyfunction("ARRAY_CONSTRAIN(ARRAYFORMULA(FILTER(Gastos!D41:D88,Gastos!$G$24:$G$71=""Apartado A.1"")), 1, 1)"),"28814473G")</f>
        <v>28814473G</v>
      </c>
      <c r="B22" s="114" t="str">
        <f aca="false">IFERROR(__xludf.dummyfunction("ARRAY_CONSTRAIN(ARRAYFORMULA(FILTER(Gastos!F41:F88,Gastos!$G$24:$G$71=""Apartado A.1"")), 1, 1)"),"Nómina marzo")</f>
        <v>Nómina marzo</v>
      </c>
      <c r="C22" s="115" t="n">
        <f aca="false">IFERROR(__xludf.dummyfunction("ARRAY_CONSTRAIN(ARRAYFORMULA(FILTER(Gastos!H41:H88,Gastos!$G$24:$G$71=""Apartado A.1"")), 1, 1)"),1902.12)</f>
        <v>1902.12</v>
      </c>
      <c r="D22" s="116" t="n">
        <v>1</v>
      </c>
      <c r="E22" s="114" t="n">
        <v>35</v>
      </c>
      <c r="F22" s="117" t="n">
        <f aca="false">IF(A22="","",MIN(E22/(37.5),1))</f>
        <v>0.933333333333333</v>
      </c>
      <c r="G22" s="118" t="n">
        <v>0.06</v>
      </c>
      <c r="H22" s="116" t="s">
        <v>308</v>
      </c>
      <c r="I22" s="115" t="n">
        <f aca="false">IFERROR(__xludf.dummyfunction("ARRAY_CONSTRAIN(ARRAYFORMULA(FILTER(Gastos!M41:M88,Gastos!$G$24:$G$71=""Apartado A.1"")), 1, 1)"),57.065)</f>
        <v>57.065</v>
      </c>
      <c r="J22" s="119" t="e">
        <f aca="false" t="array" ref="J22:J22">IF(A22="","",ifs(AND(D22=1,H22="Pagas prorrateadas"),2705.41*(F22*G22),AND(D22=1,H22="Pagas no prorrateadas"),2318.93*(F22*G22),AND(D22=2,H22="Pagas prorrateadas"),2246.07*(F22*G22),AND(D22=2,H22="Pagas no prorrateadas"),1925.21*(F22*G22),AND(D22=3,H22="Pagas prorrateadas"),1775.44*(F22*G22),AND(D22=3,H22="Pagas no prorrateadas"),1521.81*(F22*G22),AND(D22=5,H22="Pagas prorrateadas"),1535.9*(F22*G22),AND(D22=5,H22="Pagas no prorrateadas"),1316.49*(F22*G22),AND(D22=7,H22="Pagas prorrateadas"),1493.61*(F22*G22),AND(D22=7,H22="Pagas no prorrateadas"),1280.24*(F22*G22)))</f>
        <v>#NAME?</v>
      </c>
      <c r="K22" s="115" t="s">
        <v>309</v>
      </c>
    </row>
    <row r="23" customFormat="false" ht="14.25" hidden="false" customHeight="true" outlineLevel="0" collapsed="false">
      <c r="A23" s="114" t="str">
        <f aca="false">IFERROR(__xludf.dummyfunction("ARRAY_CONSTRAIN(ARRAYFORMULA(FILTER(Gastos!D42:D89,Gastos!$G$24:$G$71=""Apartado A.1"")), 1, 1)"),"28814473G")</f>
        <v>28814473G</v>
      </c>
      <c r="B23" s="114" t="str">
        <f aca="false">IFERROR(__xludf.dummyfunction("ARRAY_CONSTRAIN(ARRAYFORMULA(FILTER(Gastos!F42:F89,Gastos!$G$24:$G$71=""Apartado A.1"")), 1, 1)"),"Nómina abril")</f>
        <v>Nómina abril</v>
      </c>
      <c r="C23" s="115" t="n">
        <f aca="false">IFERROR(__xludf.dummyfunction("ARRAY_CONSTRAIN(ARRAYFORMULA(FILTER(Gastos!H42:H89,Gastos!$G$24:$G$71=""Apartado A.1"")), 1, 1)"),1902.12)</f>
        <v>1902.12</v>
      </c>
      <c r="D23" s="116" t="n">
        <v>1</v>
      </c>
      <c r="E23" s="114" t="n">
        <v>35</v>
      </c>
      <c r="F23" s="117" t="n">
        <f aca="false">IF(A23="","",MIN(E23/(37.5),1))</f>
        <v>0.933333333333333</v>
      </c>
      <c r="G23" s="118" t="n">
        <v>0.06</v>
      </c>
      <c r="H23" s="116" t="s">
        <v>308</v>
      </c>
      <c r="I23" s="115" t="n">
        <f aca="false">IFERROR(__xludf.dummyfunction("ARRAY_CONSTRAIN(ARRAYFORMULA(FILTER(Gastos!M42:M89,Gastos!$G$24:$G$71=""Apartado A.1"")), 1, 1)"),57.065)</f>
        <v>57.065</v>
      </c>
      <c r="J23" s="119" t="e">
        <f aca="false" t="array" ref="J23:J23">IF(A23="","",ifs(AND(D23=1,H23="Pagas prorrateadas"),2705.41*(F23*G23),AND(D23=1,H23="Pagas no prorrateadas"),2318.93*(F23*G23),AND(D23=2,H23="Pagas prorrateadas"),2246.07*(F23*G23),AND(D23=2,H23="Pagas no prorrateadas"),1925.21*(F23*G23),AND(D23=3,H23="Pagas prorrateadas"),1775.44*(F23*G23),AND(D23=3,H23="Pagas no prorrateadas"),1521.81*(F23*G23),AND(D23=5,H23="Pagas prorrateadas"),1535.9*(F23*G23),AND(D23=5,H23="Pagas no prorrateadas"),1316.49*(F23*G23),AND(D23=7,H23="Pagas prorrateadas"),1493.61*(F23*G23),AND(D23=7,H23="Pagas no prorrateadas"),1280.24*(F23*G23)))</f>
        <v>#NAME?</v>
      </c>
      <c r="K23" s="115" t="s">
        <v>309</v>
      </c>
    </row>
    <row r="24" customFormat="false" ht="14.25" hidden="false" customHeight="true" outlineLevel="0" collapsed="false">
      <c r="A24" s="114" t="str">
        <f aca="false">IFERROR(__xludf.dummyfunction("ARRAY_CONSTRAIN(ARRAYFORMULA(FILTER(Gastos!D43:D90,Gastos!$G$24:$G$71=""Apartado A.1"")), 1, 1)"),"28814473G")</f>
        <v>28814473G</v>
      </c>
      <c r="B24" s="114" t="str">
        <f aca="false">IFERROR(__xludf.dummyfunction("ARRAY_CONSTRAIN(ARRAYFORMULA(FILTER(Gastos!F43:F90,Gastos!$G$24:$G$71=""Apartado A.1"")), 1, 1)"),"Nómina mayo")</f>
        <v>Nómina mayo</v>
      </c>
      <c r="C24" s="115" t="n">
        <f aca="false">IFERROR(__xludf.dummyfunction("ARRAY_CONSTRAIN(ARRAYFORMULA(FILTER(Gastos!H43:H90,Gastos!$G$24:$G$71=""Apartado A.1"")), 1, 1)"),1711.91)</f>
        <v>1711.91</v>
      </c>
      <c r="D24" s="116" t="n">
        <v>1</v>
      </c>
      <c r="E24" s="114" t="n">
        <v>35</v>
      </c>
      <c r="F24" s="117" t="n">
        <f aca="false">IF(A24="","",MIN(E24/(37.5),1))</f>
        <v>0.933333333333333</v>
      </c>
      <c r="G24" s="118" t="n">
        <v>0.06</v>
      </c>
      <c r="H24" s="116" t="s">
        <v>308</v>
      </c>
      <c r="I24" s="115" t="n">
        <f aca="false">IFERROR(__xludf.dummyfunction("ARRAY_CONSTRAIN(ARRAYFORMULA(FILTER(Gastos!M43:M90,Gastos!$G$24:$G$71=""Apartado A.1"")), 1, 1)"),51.355)</f>
        <v>51.355</v>
      </c>
      <c r="J24" s="119" t="e">
        <f aca="false" t="array" ref="J24:J24">IF(A24="","",ifs(AND(D24=1,H24="Pagas prorrateadas"),2705.41*(F24*G24),AND(D24=1,H24="Pagas no prorrateadas"),2318.93*(F24*G24),AND(D24=2,H24="Pagas prorrateadas"),2246.07*(F24*G24),AND(D24=2,H24="Pagas no prorrateadas"),1925.21*(F24*G24),AND(D24=3,H24="Pagas prorrateadas"),1775.44*(F24*G24),AND(D24=3,H24="Pagas no prorrateadas"),1521.81*(F24*G24),AND(D24=5,H24="Pagas prorrateadas"),1535.9*(F24*G24),AND(D24=5,H24="Pagas no prorrateadas"),1316.49*(F24*G24),AND(D24=7,H24="Pagas prorrateadas"),1493.61*(F24*G24),AND(D24=7,H24="Pagas no prorrateadas"),1280.24*(F24*G24)))</f>
        <v>#NAME?</v>
      </c>
      <c r="K24" s="115" t="s">
        <v>309</v>
      </c>
    </row>
    <row r="25" customFormat="false" ht="14.25" hidden="false" customHeight="true" outlineLevel="0" collapsed="false">
      <c r="A25" s="114" t="str">
        <f aca="false">IFERROR(__xludf.dummyfunction("ARRAY_CONSTRAIN(ARRAYFORMULA(FILTER(Gastos!D44:D91,Gastos!$G$24:$G$71=""Apartado A.1"")), 1, 1)"),"28814473G")</f>
        <v>28814473G</v>
      </c>
      <c r="B25" s="114" t="str">
        <f aca="false">IFERROR(__xludf.dummyfunction("ARRAY_CONSTRAIN(ARRAYFORMULA(FILTER(Gastos!F44:F91,Gastos!$G$24:$G$71=""Apartado A.1"")), 1, 1)"),"Nómina mayo")</f>
        <v>Nómina mayo</v>
      </c>
      <c r="C25" s="115" t="n">
        <f aca="false">IFERROR(__xludf.dummyfunction("ARRAY_CONSTRAIN(ARRAYFORMULA(FILTER(Gastos!H44:H91,Gastos!$G$24:$G$71=""Apartado A.1"")), 1, 1)"),323.02)</f>
        <v>323.02</v>
      </c>
      <c r="D25" s="116" t="n">
        <v>1</v>
      </c>
      <c r="E25" s="114" t="n">
        <v>35</v>
      </c>
      <c r="F25" s="117" t="n">
        <f aca="false">IF(A25="","",MIN(E25/(37.5),1))</f>
        <v>0.933333333333333</v>
      </c>
      <c r="G25" s="118" t="n">
        <v>0.06</v>
      </c>
      <c r="H25" s="116" t="s">
        <v>308</v>
      </c>
      <c r="I25" s="115" t="n">
        <f aca="false">IFERROR(__xludf.dummyfunction("ARRAY_CONSTRAIN(ARRAYFORMULA(FILTER(Gastos!M44:M91,Gastos!$G$24:$G$71=""Apartado A.1"")), 1, 1)"),9.69)</f>
        <v>9.69</v>
      </c>
      <c r="J25" s="119" t="e">
        <f aca="false" t="array" ref="J25:J25">IF(A25="","",ifs(AND(D25=1,H25="Pagas prorrateadas"),2705.41*(F25*G25),AND(D25=1,H25="Pagas no prorrateadas"),2318.93*(F25*G25),AND(D25=2,H25="Pagas prorrateadas"),2246.07*(F25*G25),AND(D25=2,H25="Pagas no prorrateadas"),1925.21*(F25*G25),AND(D25=3,H25="Pagas prorrateadas"),1775.44*(F25*G25),AND(D25=3,H25="Pagas no prorrateadas"),1521.81*(F25*G25),AND(D25=5,H25="Pagas prorrateadas"),1535.9*(F25*G25),AND(D25=5,H25="Pagas no prorrateadas"),1316.49*(F25*G25),AND(D25=7,H25="Pagas prorrateadas"),1493.61*(F25*G25),AND(D25=7,H25="Pagas no prorrateadas"),1280.24*(F25*G25)))</f>
        <v>#NAME?</v>
      </c>
      <c r="K25" s="115" t="s">
        <v>309</v>
      </c>
    </row>
    <row r="26" customFormat="false" ht="14.25" hidden="false" customHeight="true" outlineLevel="0" collapsed="false">
      <c r="A26" s="114" t="str">
        <f aca="false">IFERROR(__xludf.dummyfunction("ARRAY_CONSTRAIN(ARRAYFORMULA(FILTER(Gastos!D45:D92,Gastos!$G$24:$G$71=""Apartado A.1"")), 1, 1)"),"28814473G")</f>
        <v>28814473G</v>
      </c>
      <c r="B26" s="114" t="str">
        <f aca="false">IFERROR(__xludf.dummyfunction("ARRAY_CONSTRAIN(ARRAYFORMULA(FILTER(Gastos!F45:F92,Gastos!$G$24:$G$71=""Apartado A.1"")), 1, 1)"),"Extra junio")</f>
        <v>Extra junio</v>
      </c>
      <c r="C26" s="115" t="n">
        <f aca="false">IFERROR(__xludf.dummyfunction("ARRAY_CONSTRAIN(ARRAYFORMULA(FILTER(Gastos!H45:H92,Gastos!$G$24:$G$71=""Apartado A.1"")), 1, 1)"),1748.12)</f>
        <v>1748.12</v>
      </c>
      <c r="D26" s="116" t="n">
        <v>1</v>
      </c>
      <c r="E26" s="114" t="n">
        <v>35</v>
      </c>
      <c r="F26" s="117" t="n">
        <f aca="false">IF(A26="","",MIN(E26/(37.5),1))</f>
        <v>0.933333333333333</v>
      </c>
      <c r="G26" s="118" t="n">
        <v>0.06</v>
      </c>
      <c r="H26" s="116" t="s">
        <v>308</v>
      </c>
      <c r="I26" s="115" t="n">
        <f aca="false">IFERROR(__xludf.dummyfunction("ARRAY_CONSTRAIN(ARRAYFORMULA(FILTER(Gastos!M45:M92,Gastos!$G$24:$G$71=""Apartado A.1"")), 1, 1)"),52.445)</f>
        <v>52.445</v>
      </c>
      <c r="J26" s="119" t="e">
        <f aca="false" t="array" ref="J26:J26">IF(A26="","",ifs(AND(D26=1,H26="Pagas prorrateadas"),2705.41*(F26*G26),AND(D26=1,H26="Pagas no prorrateadas"),2318.93*(F26*G26),AND(D26=2,H26="Pagas prorrateadas"),2246.07*(F26*G26),AND(D26=2,H26="Pagas no prorrateadas"),1925.21*(F26*G26),AND(D26=3,H26="Pagas prorrateadas"),1775.44*(F26*G26),AND(D26=3,H26="Pagas no prorrateadas"),1521.81*(F26*G26),AND(D26=5,H26="Pagas prorrateadas"),1535.9*(F26*G26),AND(D26=5,H26="Pagas no prorrateadas"),1316.49*(F26*G26),AND(D26=7,H26="Pagas prorrateadas"),1493.61*(F26*G26),AND(D26=7,H26="Pagas no prorrateadas"),1280.24*(F26*G26)))</f>
        <v>#NAME?</v>
      </c>
      <c r="K26" s="115" t="s">
        <v>309</v>
      </c>
    </row>
    <row r="27" customFormat="false" ht="14.25" hidden="false" customHeight="true" outlineLevel="0" collapsed="false">
      <c r="A27" s="114" t="str">
        <f aca="false">IFERROR(__xludf.dummyfunction("ARRAY_CONSTRAIN(ARRAYFORMULA(FILTER(Gastos!D46:D93,Gastos!$G$24:$G$71=""Apartado A.1"")), 1, 1)"),"28814473G")</f>
        <v>28814473G</v>
      </c>
      <c r="B27" s="114" t="str">
        <f aca="false">IFERROR(__xludf.dummyfunction("ARRAY_CONSTRAIN(ARRAYFORMULA(FILTER(Gastos!F46:F93,Gastos!$G$24:$G$71=""Apartado A.1"")), 1, 1)"),"Nómina junio")</f>
        <v>Nómina junio</v>
      </c>
      <c r="C27" s="115" t="n">
        <f aca="false">IFERROR(__xludf.dummyfunction("ARRAY_CONSTRAIN(ARRAYFORMULA(FILTER(Gastos!H46:H93,Gastos!$G$24:$G$71=""Apartado A.1"")), 1, 1)"),1951.62)</f>
        <v>1951.62</v>
      </c>
      <c r="D27" s="116" t="n">
        <v>1</v>
      </c>
      <c r="E27" s="114" t="n">
        <v>35</v>
      </c>
      <c r="F27" s="117" t="n">
        <f aca="false">IF(A27="","",MIN(E27/(37.5),1))</f>
        <v>0.933333333333333</v>
      </c>
      <c r="G27" s="118" t="n">
        <v>0.06</v>
      </c>
      <c r="H27" s="116" t="s">
        <v>308</v>
      </c>
      <c r="I27" s="115" t="n">
        <f aca="false">IFERROR(__xludf.dummyfunction("ARRAY_CONSTRAIN(ARRAYFORMULA(FILTER(Gastos!M46:M93,Gastos!$G$24:$G$71=""Apartado A.1"")), 1, 1)"),58.55)</f>
        <v>58.55</v>
      </c>
      <c r="J27" s="119" t="e">
        <f aca="false" t="array" ref="J27:J27">IF(A27="","",ifs(AND(D27=1,H27="Pagas prorrateadas"),2705.41*(F27*G27),AND(D27=1,H27="Pagas no prorrateadas"),2318.93*(F27*G27),AND(D27=2,H27="Pagas prorrateadas"),2246.07*(F27*G27),AND(D27=2,H27="Pagas no prorrateadas"),1925.21*(F27*G27),AND(D27=3,H27="Pagas prorrateadas"),1775.44*(F27*G27),AND(D27=3,H27="Pagas no prorrateadas"),1521.81*(F27*G27),AND(D27=5,H27="Pagas prorrateadas"),1535.9*(F27*G27),AND(D27=5,H27="Pagas no prorrateadas"),1316.49*(F27*G27),AND(D27=7,H27="Pagas prorrateadas"),1493.61*(F27*G27),AND(D27=7,H27="Pagas no prorrateadas"),1280.24*(F27*G27)))</f>
        <v>#NAME?</v>
      </c>
      <c r="K27" s="115" t="s">
        <v>309</v>
      </c>
    </row>
    <row r="28" customFormat="false" ht="14.25" hidden="false" customHeight="true" outlineLevel="0" collapsed="false">
      <c r="A28" s="114" t="str">
        <f aca="false">IFERROR(__xludf.dummyfunction("ARRAY_CONSTRAIN(ARRAYFORMULA(FILTER(Gastos!D47:D94,Gastos!$G$24:$G$71=""Apartado A.1"")), 1, 1)"),"28814473G")</f>
        <v>28814473G</v>
      </c>
      <c r="B28" s="114" t="str">
        <f aca="false">IFERROR(__xludf.dummyfunction("ARRAY_CONSTRAIN(ARRAYFORMULA(FILTER(Gastos!F47:F94,Gastos!$G$24:$G$71=""Apartado A.1"")), 1, 1)"),"Nómina julio")</f>
        <v>Nómina julio</v>
      </c>
      <c r="C28" s="115" t="n">
        <f aca="false">IFERROR(__xludf.dummyfunction("ARRAY_CONSTRAIN(ARRAYFORMULA(FILTER(Gastos!H47:H94,Gastos!$G$24:$G$71=""Apartado A.1"")), 1, 1)"),1676.02)</f>
        <v>1676.02</v>
      </c>
      <c r="D28" s="116" t="n">
        <v>1</v>
      </c>
      <c r="E28" s="114" t="n">
        <v>35</v>
      </c>
      <c r="F28" s="117" t="n">
        <f aca="false">IF(A28="","",MIN(E28/(37.5),1))</f>
        <v>0.933333333333333</v>
      </c>
      <c r="G28" s="118" t="n">
        <v>0.06</v>
      </c>
      <c r="H28" s="116" t="s">
        <v>308</v>
      </c>
      <c r="I28" s="115" t="n">
        <f aca="false">IFERROR(__xludf.dummyfunction("ARRAY_CONSTRAIN(ARRAYFORMULA(FILTER(Gastos!M47:M94,Gastos!$G$24:$G$71=""Apartado A.1"")), 1, 1)"),50.28)</f>
        <v>50.28</v>
      </c>
      <c r="J28" s="119" t="e">
        <f aca="false" t="array" ref="J28:J28">IF(A28="","",ifs(AND(D28=1,H28="Pagas prorrateadas"),2705.41*(F28*G28),AND(D28=1,H28="Pagas no prorrateadas"),2318.93*(F28*G28),AND(D28=2,H28="Pagas prorrateadas"),2246.07*(F28*G28),AND(D28=2,H28="Pagas no prorrateadas"),1925.21*(F28*G28),AND(D28=3,H28="Pagas prorrateadas"),1775.44*(F28*G28),AND(D28=3,H28="Pagas no prorrateadas"),1521.81*(F28*G28),AND(D28=5,H28="Pagas prorrateadas"),1535.9*(F28*G28),AND(D28=5,H28="Pagas no prorrateadas"),1316.49*(F28*G28),AND(D28=7,H28="Pagas prorrateadas"),1493.61*(F28*G28),AND(D28=7,H28="Pagas no prorrateadas"),1280.24*(F28*G28)))</f>
        <v>#NAME?</v>
      </c>
      <c r="K28" s="115" t="s">
        <v>309</v>
      </c>
    </row>
    <row r="29" customFormat="false" ht="14.25" hidden="false" customHeight="true" outlineLevel="0" collapsed="false">
      <c r="A29" s="114" t="str">
        <f aca="false">IFERROR(__xludf.dummyfunction("ARRAY_CONSTRAIN(ARRAYFORMULA(FILTER(Gastos!D48:D95,Gastos!$G$24:$G$71=""Apartado A.1"")), 1, 1)"),"28814473G")</f>
        <v>28814473G</v>
      </c>
      <c r="B29" s="114" t="str">
        <f aca="false">IFERROR(__xludf.dummyfunction("ARRAY_CONSTRAIN(ARRAYFORMULA(FILTER(Gastos!F48:F95,Gastos!$G$24:$G$71=""Apartado A.1"")), 1, 1)"),"Nómina agosto")</f>
        <v>Nómina agosto</v>
      </c>
      <c r="C29" s="115" t="n">
        <f aca="false">IFERROR(__xludf.dummyfunction("ARRAY_CONSTRAIN(ARRAYFORMULA(FILTER(Gastos!H48:H95,Gastos!$G$24:$G$71=""Apartado A.1"")), 1, 1)"),1676.02)</f>
        <v>1676.02</v>
      </c>
      <c r="D29" s="116" t="n">
        <v>1</v>
      </c>
      <c r="E29" s="114" t="n">
        <v>35</v>
      </c>
      <c r="F29" s="117" t="n">
        <f aca="false">IF(A29="","",MIN(E29/(37.5),1))</f>
        <v>0.933333333333333</v>
      </c>
      <c r="G29" s="118" t="n">
        <v>0.06</v>
      </c>
      <c r="H29" s="116" t="s">
        <v>308</v>
      </c>
      <c r="I29" s="115" t="n">
        <f aca="false">IFERROR(__xludf.dummyfunction("ARRAY_CONSTRAIN(ARRAYFORMULA(FILTER(Gastos!M48:M95,Gastos!$G$24:$G$71=""Apartado A.1"")), 1, 1)"),50.28)</f>
        <v>50.28</v>
      </c>
      <c r="J29" s="119" t="e">
        <f aca="false" t="array" ref="J29:J29">IF(A29="","",ifs(AND(D29=1,H29="Pagas prorrateadas"),2705.41*(F29*G29),AND(D29=1,H29="Pagas no prorrateadas"),2318.93*(F29*G29),AND(D29=2,H29="Pagas prorrateadas"),2246.07*(F29*G29),AND(D29=2,H29="Pagas no prorrateadas"),1925.21*(F29*G29),AND(D29=3,H29="Pagas prorrateadas"),1775.44*(F29*G29),AND(D29=3,H29="Pagas no prorrateadas"),1521.81*(F29*G29),AND(D29=5,H29="Pagas prorrateadas"),1535.9*(F29*G29),AND(D29=5,H29="Pagas no prorrateadas"),1316.49*(F29*G29),AND(D29=7,H29="Pagas prorrateadas"),1493.61*(F29*G29),AND(D29=7,H29="Pagas no prorrateadas"),1280.24*(F29*G29)))</f>
        <v>#NAME?</v>
      </c>
      <c r="K29" s="115" t="s">
        <v>309</v>
      </c>
    </row>
    <row r="30" customFormat="false" ht="14.25" hidden="false" customHeight="true" outlineLevel="0" collapsed="false">
      <c r="A30" s="114" t="str">
        <f aca="false">IFERROR(__xludf.dummyfunction("ARRAY_CONSTRAIN(ARRAYFORMULA(FILTER(Gastos!D49:D96,Gastos!$G$24:$G$71=""Apartado A.1"")), 1, 1)"),"28814473G")</f>
        <v>28814473G</v>
      </c>
      <c r="B30" s="114" t="str">
        <f aca="false">IFERROR(__xludf.dummyfunction("ARRAY_CONSTRAIN(ARRAYFORMULA(FILTER(Gastos!F49:F96,Gastos!$G$24:$G$71=""Apartado A.1"")), 1, 1)"),"Nómina septiembre")</f>
        <v>Nómina septiembre</v>
      </c>
      <c r="C30" s="115" t="n">
        <f aca="false">IFERROR(__xludf.dummyfunction("ARRAY_CONSTRAIN(ARRAYFORMULA(FILTER(Gastos!H49:H96,Gastos!$G$24:$G$71=""Apartado A.1"")), 1, 1)"),1676.02)</f>
        <v>1676.02</v>
      </c>
      <c r="D30" s="116" t="n">
        <v>1</v>
      </c>
      <c r="E30" s="114" t="n">
        <v>35</v>
      </c>
      <c r="F30" s="117" t="n">
        <f aca="false">IF(A30="","",MIN(E30/(37.5),1))</f>
        <v>0.933333333333333</v>
      </c>
      <c r="G30" s="118" t="n">
        <v>0.06</v>
      </c>
      <c r="H30" s="116" t="s">
        <v>308</v>
      </c>
      <c r="I30" s="115" t="n">
        <f aca="false">IFERROR(__xludf.dummyfunction("ARRAY_CONSTRAIN(ARRAYFORMULA(FILTER(Gastos!M49:M96,Gastos!$G$24:$G$71=""Apartado A.1"")), 1, 1)"),50.28)</f>
        <v>50.28</v>
      </c>
      <c r="J30" s="119" t="e">
        <f aca="false" t="array" ref="J30:J30">IF(A30="","",ifs(AND(D30=1,H30="Pagas prorrateadas"),2705.41*(F30*G30),AND(D30=1,H30="Pagas no prorrateadas"),2318.93*(F30*G30),AND(D30=2,H30="Pagas prorrateadas"),2246.07*(F30*G30),AND(D30=2,H30="Pagas no prorrateadas"),1925.21*(F30*G30),AND(D30=3,H30="Pagas prorrateadas"),1775.44*(F30*G30),AND(D30=3,H30="Pagas no prorrateadas"),1521.81*(F30*G30),AND(D30=5,H30="Pagas prorrateadas"),1535.9*(F30*G30),AND(D30=5,H30="Pagas no prorrateadas"),1316.49*(F30*G30),AND(D30=7,H30="Pagas prorrateadas"),1493.61*(F30*G30),AND(D30=7,H30="Pagas no prorrateadas"),1280.24*(F30*G30)))</f>
        <v>#NAME?</v>
      </c>
      <c r="K30" s="115" t="s">
        <v>309</v>
      </c>
    </row>
    <row r="31" customFormat="false" ht="14.25" hidden="false" customHeight="true" outlineLevel="0" collapsed="false">
      <c r="A31" s="114" t="str">
        <f aca="false">IFERROR(__xludf.dummyfunction("ARRAY_CONSTRAIN(ARRAYFORMULA(FILTER(Gastos!D50:D97,Gastos!$G$24:$G$71=""Apartado A.1"")), 1, 1)"),"28814473G")</f>
        <v>28814473G</v>
      </c>
      <c r="B31" s="114" t="str">
        <f aca="false">IFERROR(__xludf.dummyfunction("ARRAY_CONSTRAIN(ARRAYFORMULA(FILTER(Gastos!F50:F97,Gastos!$G$24:$G$71=""Apartado A.1"")), 1, 1)"),"Nómina octubre")</f>
        <v>Nómina octubre</v>
      </c>
      <c r="C31" s="115" t="n">
        <f aca="false">IFERROR(__xludf.dummyfunction("ARRAY_CONSTRAIN(ARRAYFORMULA(FILTER(Gastos!H50:H97,Gastos!$G$24:$G$71=""Apartado A.1"")), 1, 1)"),1620.15)</f>
        <v>1620.15</v>
      </c>
      <c r="D31" s="116" t="n">
        <v>1</v>
      </c>
      <c r="E31" s="114" t="n">
        <v>35</v>
      </c>
      <c r="F31" s="117" t="n">
        <f aca="false">IF(A31="","",MIN(E31/(37.5),1))</f>
        <v>0.933333333333333</v>
      </c>
      <c r="G31" s="118" t="n">
        <v>0.06</v>
      </c>
      <c r="H31" s="116" t="s">
        <v>308</v>
      </c>
      <c r="I31" s="115" t="n">
        <f aca="false">IFERROR(__xludf.dummyfunction("ARRAY_CONSTRAIN(ARRAYFORMULA(FILTER(Gastos!M50:M97,Gastos!$G$24:$G$71=""Apartado A.1"")), 1, 1)"),48.605)</f>
        <v>48.605</v>
      </c>
      <c r="J31" s="119" t="e">
        <f aca="false" t="array" ref="J31:J31">IF(A31="","",ifs(AND(D31=1,H31="Pagas prorrateadas"),2705.41*(F31*G31),AND(D31=1,H31="Pagas no prorrateadas"),2318.93*(F31*G31),AND(D31=2,H31="Pagas prorrateadas"),2246.07*(F31*G31),AND(D31=2,H31="Pagas no prorrateadas"),1925.21*(F31*G31),AND(D31=3,H31="Pagas prorrateadas"),1775.44*(F31*G31),AND(D31=3,H31="Pagas no prorrateadas"),1521.81*(F31*G31),AND(D31=5,H31="Pagas prorrateadas"),1535.9*(F31*G31),AND(D31=5,H31="Pagas no prorrateadas"),1316.49*(F31*G31),AND(D31=7,H31="Pagas prorrateadas"),1493.61*(F31*G31),AND(D31=7,H31="Pagas no prorrateadas"),1280.24*(F31*G31)))</f>
        <v>#NAME?</v>
      </c>
      <c r="K31" s="115" t="s">
        <v>309</v>
      </c>
    </row>
    <row r="32" customFormat="false" ht="14.25" hidden="false" customHeight="true" outlineLevel="0" collapsed="false">
      <c r="A32" s="114" t="str">
        <f aca="false">IFERROR(__xludf.dummyfunction("ARRAY_CONSTRAIN(ARRAYFORMULA(FILTER(Gastos!D51:D98,Gastos!$G$24:$G$71=""Apartado A.1"")), 1, 1)"),"28814473G")</f>
        <v>28814473G</v>
      </c>
      <c r="B32" s="114" t="str">
        <f aca="false">IFERROR(__xludf.dummyfunction("ARRAY_CONSTRAIN(ARRAYFORMULA(FILTER(Gastos!F51:F98,Gastos!$G$24:$G$71=""Apartado A.1"")), 1, 1)"),"Nómina noviembre")</f>
        <v>Nómina noviembre</v>
      </c>
      <c r="C32" s="115" t="n">
        <f aca="false">IFERROR(__xludf.dummyfunction("ARRAY_CONSTRAIN(ARRAYFORMULA(FILTER(Gastos!H51:H98,Gastos!$G$24:$G$71=""Apartado A.1"")), 1, 1)"),1676.02)</f>
        <v>1676.02</v>
      </c>
      <c r="D32" s="116" t="n">
        <v>1</v>
      </c>
      <c r="E32" s="114" t="n">
        <v>35</v>
      </c>
      <c r="F32" s="117" t="n">
        <f aca="false">IF(A32="","",MIN(E32/(37.5),1))</f>
        <v>0.933333333333333</v>
      </c>
      <c r="G32" s="118" t="n">
        <v>0.06</v>
      </c>
      <c r="H32" s="116" t="s">
        <v>308</v>
      </c>
      <c r="I32" s="115" t="n">
        <f aca="false">IFERROR(__xludf.dummyfunction("ARRAY_CONSTRAIN(ARRAYFORMULA(FILTER(Gastos!M51:M98,Gastos!$G$24:$G$71=""Apartado A.1"")), 1, 1)"),50.28)</f>
        <v>50.28</v>
      </c>
      <c r="J32" s="119" t="e">
        <f aca="false" t="array" ref="J32:J32">IF(A32="","",ifs(AND(D32=1,H32="Pagas prorrateadas"),2705.41*(F32*G32),AND(D32=1,H32="Pagas no prorrateadas"),2318.93*(F32*G32),AND(D32=2,H32="Pagas prorrateadas"),2246.07*(F32*G32),AND(D32=2,H32="Pagas no prorrateadas"),1925.21*(F32*G32),AND(D32=3,H32="Pagas prorrateadas"),1775.44*(F32*G32),AND(D32=3,H32="Pagas no prorrateadas"),1521.81*(F32*G32),AND(D32=5,H32="Pagas prorrateadas"),1535.9*(F32*G32),AND(D32=5,H32="Pagas no prorrateadas"),1316.49*(F32*G32),AND(D32=7,H32="Pagas prorrateadas"),1493.61*(F32*G32),AND(D32=7,H32="Pagas no prorrateadas"),1280.24*(F32*G32)))</f>
        <v>#NAME?</v>
      </c>
      <c r="K32" s="115" t="s">
        <v>309</v>
      </c>
    </row>
    <row r="33" customFormat="false" ht="14.25" hidden="false" customHeight="true" outlineLevel="0" collapsed="false">
      <c r="A33" s="114" t="str">
        <f aca="false">IFERROR(__xludf.dummyfunction("ARRAY_CONSTRAIN(ARRAYFORMULA(FILTER(Gastos!D52:D99,Gastos!$G$24:$G$71=""Apartado A.1"")), 1, 1)"),"28814473G")</f>
        <v>28814473G</v>
      </c>
      <c r="B33" s="114" t="str">
        <f aca="false">IFERROR(__xludf.dummyfunction("ARRAY_CONSTRAIN(ARRAYFORMULA(FILTER(Gastos!F52:F99,Gastos!$G$24:$G$71=""Apartado A.1"")), 1, 1)"),"Paga extra diciembre")</f>
        <v>Paga extra diciembre</v>
      </c>
      <c r="C33" s="115" t="n">
        <f aca="false">IFERROR(__xludf.dummyfunction("ARRAY_CONSTRAIN(ARRAYFORMULA(FILTER(Gastos!H52:H99,Gastos!$G$24:$G$71=""Apartado A.1"")), 1, 1)"),1621.25)</f>
        <v>1621.25</v>
      </c>
      <c r="D33" s="116" t="n">
        <v>1</v>
      </c>
      <c r="E33" s="114" t="n">
        <v>35</v>
      </c>
      <c r="F33" s="117" t="n">
        <f aca="false">IF(A33="","",MIN(E33/(37.5),1))</f>
        <v>0.933333333333333</v>
      </c>
      <c r="G33" s="118" t="n">
        <v>0.06</v>
      </c>
      <c r="H33" s="116" t="s">
        <v>308</v>
      </c>
      <c r="I33" s="115" t="n">
        <f aca="false">IFERROR(__xludf.dummyfunction("ARRAY_CONSTRAIN(ARRAYFORMULA(FILTER(Gastos!M52:M99,Gastos!$G$24:$G$71=""Apartado A.1"")), 1, 1)"),48.64)</f>
        <v>48.64</v>
      </c>
      <c r="J33" s="119" t="e">
        <f aca="false" t="array" ref="J33:J33">IF(A33="","",ifs(AND(D33=1,H33="Pagas prorrateadas"),2705.41*(F33*G33),AND(D33=1,H33="Pagas no prorrateadas"),2318.93*(F33*G33),AND(D33=2,H33="Pagas prorrateadas"),2246.07*(F33*G33),AND(D33=2,H33="Pagas no prorrateadas"),1925.21*(F33*G33),AND(D33=3,H33="Pagas prorrateadas"),1775.44*(F33*G33),AND(D33=3,H33="Pagas no prorrateadas"),1521.81*(F33*G33),AND(D33=5,H33="Pagas prorrateadas"),1535.9*(F33*G33),AND(D33=5,H33="Pagas no prorrateadas"),1316.49*(F33*G33),AND(D33=7,H33="Pagas prorrateadas"),1493.61*(F33*G33),AND(D33=7,H33="Pagas no prorrateadas"),1280.24*(F33*G33)))</f>
        <v>#NAME?</v>
      </c>
      <c r="K33" s="115" t="s">
        <v>309</v>
      </c>
    </row>
    <row r="34" customFormat="false" ht="14.25" hidden="false" customHeight="true" outlineLevel="0" collapsed="false">
      <c r="A34" s="114" t="str">
        <f aca="false">IFERROR(__xludf.dummyfunction("ARRAY_CONSTRAIN(ARRAYFORMULA(FILTER(Gastos!D53:D100,Gastos!$G$24:$G$71=""Apartado A.1"")), 1, 1)"),"28814473G")</f>
        <v>28814473G</v>
      </c>
      <c r="B34" s="114" t="str">
        <f aca="false">IFERROR(__xludf.dummyfunction("ARRAY_CONSTRAIN(ARRAYFORMULA(FILTER(Gastos!F53:F100,Gastos!$G$24:$G$71=""Apartado A.1"")), 1, 1)"),"Nómina diciembre")</f>
        <v>Nómina diciembre</v>
      </c>
      <c r="C34" s="115" t="n">
        <f aca="false">IFERROR(__xludf.dummyfunction("ARRAY_CONSTRAIN(ARRAYFORMULA(FILTER(Gastos!H53:H100,Gastos!$G$24:$G$71=""Apartado A.1"")), 1, 1)"),1676.02)</f>
        <v>1676.02</v>
      </c>
      <c r="D34" s="116" t="n">
        <v>1</v>
      </c>
      <c r="E34" s="114" t="n">
        <v>35</v>
      </c>
      <c r="F34" s="117" t="n">
        <f aca="false">IF(A34="","",MIN(E34/(37.5),1))</f>
        <v>0.933333333333333</v>
      </c>
      <c r="G34" s="118" t="n">
        <v>0.06</v>
      </c>
      <c r="H34" s="116" t="s">
        <v>308</v>
      </c>
      <c r="I34" s="115" t="n">
        <f aca="false">IFERROR(__xludf.dummyfunction("ARRAY_CONSTRAIN(ARRAYFORMULA(FILTER(Gastos!M53:M100,Gastos!$G$24:$G$71=""Apartado A.1"")), 1, 1)"),50.28)</f>
        <v>50.28</v>
      </c>
      <c r="J34" s="119" t="e">
        <f aca="false" t="array" ref="J34:J34">IF(A34="","",ifs(AND(D34=1,H34="Pagas prorrateadas"),2705.41*(F34*G34),AND(D34=1,H34="Pagas no prorrateadas"),2318.93*(F34*G34),AND(D34=2,H34="Pagas prorrateadas"),2246.07*(F34*G34),AND(D34=2,H34="Pagas no prorrateadas"),1925.21*(F34*G34),AND(D34=3,H34="Pagas prorrateadas"),1775.44*(F34*G34),AND(D34=3,H34="Pagas no prorrateadas"),1521.81*(F34*G34),AND(D34=5,H34="Pagas prorrateadas"),1535.9*(F34*G34),AND(D34=5,H34="Pagas no prorrateadas"),1316.49*(F34*G34),AND(D34=7,H34="Pagas prorrateadas"),1493.61*(F34*G34),AND(D34=7,H34="Pagas no prorrateadas"),1280.24*(F34*G34)))</f>
        <v>#NAME?</v>
      </c>
      <c r="K34" s="115" t="s">
        <v>309</v>
      </c>
    </row>
    <row r="35" customFormat="false" ht="14.25" hidden="false" customHeight="true" outlineLevel="0" collapsed="false">
      <c r="A35" s="114" t="str">
        <f aca="false">IFERROR(__xludf.dummyfunction("ARRAY_CONSTRAIN(ARRAYFORMULA(FILTER(Gastos!D54:D101,Gastos!$G$24:$G$71=""Apartado A.1"")), 1, 1)"),"25471211E")</f>
        <v>25471211E</v>
      </c>
      <c r="B35" s="114" t="str">
        <f aca="false">IFERROR(__xludf.dummyfunction("ARRAY_CONSTRAIN(ARRAYFORMULA(FILTER(Gastos!F54:F101,Gastos!$G$24:$G$71=""Apartado A.1"")), 1, 1)"),"Nómina enero")</f>
        <v>Nómina enero</v>
      </c>
      <c r="C35" s="115" t="n">
        <f aca="false">IFERROR(__xludf.dummyfunction("ARRAY_CONSTRAIN(ARRAYFORMULA(FILTER(Gastos!H54:H101,Gastos!$G$24:$G$71=""Apartado A.1"")), 1, 1)"),1902.12)</f>
        <v>1902.12</v>
      </c>
      <c r="D35" s="116" t="n">
        <v>1</v>
      </c>
      <c r="E35" s="114" t="n">
        <v>35</v>
      </c>
      <c r="F35" s="117" t="n">
        <f aca="false">IF(A35="","",MIN(E35/(37.5),1))</f>
        <v>0.933333333333333</v>
      </c>
      <c r="G35" s="118" t="n">
        <v>0.1</v>
      </c>
      <c r="H35" s="116" t="s">
        <v>308</v>
      </c>
      <c r="I35" s="115" t="n">
        <f aca="false">IFERROR(__xludf.dummyfunction("ARRAY_CONSTRAIN(ARRAYFORMULA(FILTER(Gastos!M54:M101,Gastos!$G$24:$G$71=""Apartado A.1"")), 1, 1)"),95.105)</f>
        <v>95.105</v>
      </c>
      <c r="J35" s="119" t="e">
        <f aca="false" t="array" ref="J35:J35">IF(A35="","",ifs(AND(D35=1,H35="Pagas prorrateadas"),2705.41*(F35*G35),AND(D35=1,H35="Pagas no prorrateadas"),2318.93*(F35*G35),AND(D35=2,H35="Pagas prorrateadas"),2246.07*(F35*G35),AND(D35=2,H35="Pagas no prorrateadas"),1925.21*(F35*G35),AND(D35=3,H35="Pagas prorrateadas"),1775.44*(F35*G35),AND(D35=3,H35="Pagas no prorrateadas"),1521.81*(F35*G35),AND(D35=5,H35="Pagas prorrateadas"),1535.9*(F35*G35),AND(D35=5,H35="Pagas no prorrateadas"),1316.49*(F35*G35),AND(D35=7,H35="Pagas prorrateadas"),1493.61*(F35*G35),AND(D35=7,H35="Pagas no prorrateadas"),1280.24*(F35*G35)))</f>
        <v>#NAME?</v>
      </c>
      <c r="K35" s="115" t="s">
        <v>309</v>
      </c>
    </row>
    <row r="36" customFormat="false" ht="14.25" hidden="false" customHeight="true" outlineLevel="0" collapsed="false">
      <c r="A36" s="114" t="str">
        <f aca="false">IFERROR(__xludf.dummyfunction("ARRAY_CONSTRAIN(ARRAYFORMULA(FILTER(Gastos!D55:D102,Gastos!$G$24:$G$71=""Apartado A.1"")), 1, 1)"),"25471211E")</f>
        <v>25471211E</v>
      </c>
      <c r="B36" s="114" t="str">
        <f aca="false">IFERROR(__xludf.dummyfunction("ARRAY_CONSTRAIN(ARRAYFORMULA(FILTER(Gastos!F55:F102,Gastos!$G$24:$G$71=""Apartado A.1"")), 1, 1)"),"Nómina febrero")</f>
        <v>Nómina febrero</v>
      </c>
      <c r="C36" s="115" t="n">
        <f aca="false">IFERROR(__xludf.dummyfunction("ARRAY_CONSTRAIN(ARRAYFORMULA(FILTER(Gastos!H55:H102,Gastos!$G$24:$G$71=""Apartado A.1"")), 1, 1)"),760.85)</f>
        <v>760.85</v>
      </c>
      <c r="D36" s="116" t="n">
        <v>1</v>
      </c>
      <c r="E36" s="114" t="n">
        <v>35</v>
      </c>
      <c r="F36" s="117" t="n">
        <f aca="false">IF(A36="","",MIN(E36/(37.5),1))</f>
        <v>0.933333333333333</v>
      </c>
      <c r="G36" s="118" t="n">
        <v>0.1</v>
      </c>
      <c r="H36" s="116" t="s">
        <v>308</v>
      </c>
      <c r="I36" s="115" t="n">
        <f aca="false">IFERROR(__xludf.dummyfunction("ARRAY_CONSTRAIN(ARRAYFORMULA(FILTER(Gastos!M55:M102,Gastos!$G$24:$G$71=""Apartado A.1"")), 1, 1)"),38.045)</f>
        <v>38.045</v>
      </c>
      <c r="J36" s="119" t="e">
        <f aca="false" t="array" ref="J36:J36">IF(A36="","",ifs(AND(D36=1,H36="Pagas prorrateadas"),2705.41*(F36*G36),AND(D36=1,H36="Pagas no prorrateadas"),2318.93*(F36*G36),AND(D36=2,H36="Pagas prorrateadas"),2246.07*(F36*G36),AND(D36=2,H36="Pagas no prorrateadas"),1925.21*(F36*G36),AND(D36=3,H36="Pagas prorrateadas"),1775.44*(F36*G36),AND(D36=3,H36="Pagas no prorrateadas"),1521.81*(F36*G36),AND(D36=5,H36="Pagas prorrateadas"),1535.9*(F36*G36),AND(D36=5,H36="Pagas no prorrateadas"),1316.49*(F36*G36),AND(D36=7,H36="Pagas prorrateadas"),1493.61*(F36*G36),AND(D36=7,H36="Pagas no prorrateadas"),1280.24*(F36*G36)))</f>
        <v>#NAME?</v>
      </c>
      <c r="K36" s="115" t="s">
        <v>309</v>
      </c>
    </row>
    <row r="37" customFormat="false" ht="14.25" hidden="false" customHeight="true" outlineLevel="0" collapsed="false">
      <c r="A37" s="114" t="str">
        <f aca="false">IFERROR(__xludf.dummyfunction("ARRAY_CONSTRAIN(ARRAYFORMULA(FILTER(Gastos!D56:D103,Gastos!$G$24:$G$71=""Apartado A.1"")), 1, 1)"),"25471211E")</f>
        <v>25471211E</v>
      </c>
      <c r="B37" s="114" t="str">
        <f aca="false">IFERROR(__xludf.dummyfunction("ARRAY_CONSTRAIN(ARRAYFORMULA(FILTER(Gastos!F56:F103,Gastos!$G$24:$G$71=""Apartado A.1"")), 1, 1)"),"Nómina febrero")</f>
        <v>Nómina febrero</v>
      </c>
      <c r="C37" s="115" t="n">
        <f aca="false">IFERROR(__xludf.dummyfunction("ARRAY_CONSTRAIN(ARRAYFORMULA(FILTER(Gastos!H56:H103,Gastos!$G$24:$G$71=""Apartado A.1"")), 1, 1)"),815.21)</f>
        <v>815.21</v>
      </c>
      <c r="D37" s="116" t="n">
        <v>1</v>
      </c>
      <c r="E37" s="114" t="n">
        <v>35</v>
      </c>
      <c r="F37" s="117" t="n">
        <f aca="false">IF(A37="","",MIN(E37/(37.5),1))</f>
        <v>0.933333333333333</v>
      </c>
      <c r="G37" s="118" t="n">
        <v>0.1</v>
      </c>
      <c r="H37" s="116" t="s">
        <v>308</v>
      </c>
      <c r="I37" s="115" t="n">
        <f aca="false">IFERROR(__xludf.dummyfunction("ARRAY_CONSTRAIN(ARRAYFORMULA(FILTER(Gastos!M56:M103,Gastos!$G$24:$G$71=""Apartado A.1"")), 1, 1)"),40.76)</f>
        <v>40.76</v>
      </c>
      <c r="J37" s="119" t="e">
        <f aca="false" t="array" ref="J37:J37">IF(A37="","",ifs(AND(D37=1,H37="Pagas prorrateadas"),2705.41*(F37*G37),AND(D37=1,H37="Pagas no prorrateadas"),2318.93*(F37*G37),AND(D37=2,H37="Pagas prorrateadas"),2246.07*(F37*G37),AND(D37=2,H37="Pagas no prorrateadas"),1925.21*(F37*G37),AND(D37=3,H37="Pagas prorrateadas"),1775.44*(F37*G37),AND(D37=3,H37="Pagas no prorrateadas"),1521.81*(F37*G37),AND(D37=5,H37="Pagas prorrateadas"),1535.9*(F37*G37),AND(D37=5,H37="Pagas no prorrateadas"),1316.49*(F37*G37),AND(D37=7,H37="Pagas prorrateadas"),1493.61*(F37*G37),AND(D37=7,H37="Pagas no prorrateadas"),1280.24*(F37*G37)))</f>
        <v>#NAME?</v>
      </c>
      <c r="K37" s="115" t="s">
        <v>309</v>
      </c>
    </row>
    <row r="38" customFormat="false" ht="14.25" hidden="false" customHeight="true" outlineLevel="0" collapsed="false">
      <c r="A38" s="114" t="str">
        <f aca="false">IFERROR(__xludf.dummyfunction("ARRAY_CONSTRAIN(ARRAYFORMULA(FILTER(Gastos!D57:D104,Gastos!$G$24:$G$71=""Apartado A.1"")), 1, 1)"),"25471211E")</f>
        <v>25471211E</v>
      </c>
      <c r="B38" s="114" t="str">
        <f aca="false">IFERROR(__xludf.dummyfunction("ARRAY_CONSTRAIN(ARRAYFORMULA(FILTER(Gastos!F57:F104,Gastos!$G$24:$G$71=""Apartado A.1"")), 1, 1)"),"Nómina marzo")</f>
        <v>Nómina marzo</v>
      </c>
      <c r="C38" s="115" t="n">
        <f aca="false">IFERROR(__xludf.dummyfunction("ARRAY_CONSTRAIN(ARRAYFORMULA(FILTER(Gastos!H57:H104,Gastos!$G$24:$G$71=""Apartado A.1"")), 1, 1)"),1358.69)</f>
        <v>1358.69</v>
      </c>
      <c r="D38" s="116" t="n">
        <v>1</v>
      </c>
      <c r="E38" s="114" t="n">
        <v>35</v>
      </c>
      <c r="F38" s="117" t="n">
        <f aca="false">IF(A38="","",MIN(E38/(37.5),1))</f>
        <v>0.933333333333333</v>
      </c>
      <c r="G38" s="118" t="n">
        <v>0.1</v>
      </c>
      <c r="H38" s="116" t="s">
        <v>308</v>
      </c>
      <c r="I38" s="115" t="n">
        <f aca="false">IFERROR(__xludf.dummyfunction("ARRAY_CONSTRAIN(ARRAYFORMULA(FILTER(Gastos!M57:M104,Gastos!$G$24:$G$71=""Apartado A.1"")), 1, 1)"),67.935)</f>
        <v>67.935</v>
      </c>
      <c r="J38" s="119" t="e">
        <f aca="false" t="array" ref="J38:J38">IF(A38="","",ifs(AND(D38=1,H38="Pagas prorrateadas"),2705.41*(F38*G38),AND(D38=1,H38="Pagas no prorrateadas"),2318.93*(F38*G38),AND(D38=2,H38="Pagas prorrateadas"),2246.07*(F38*G38),AND(D38=2,H38="Pagas no prorrateadas"),1925.21*(F38*G38),AND(D38=3,H38="Pagas prorrateadas"),1775.44*(F38*G38),AND(D38=3,H38="Pagas no prorrateadas"),1521.81*(F38*G38),AND(D38=5,H38="Pagas prorrateadas"),1535.9*(F38*G38),AND(D38=5,H38="Pagas no prorrateadas"),1316.49*(F38*G38),AND(D38=7,H38="Pagas prorrateadas"),1493.61*(F38*G38),AND(D38=7,H38="Pagas no prorrateadas"),1280.24*(F38*G38)))</f>
        <v>#NAME?</v>
      </c>
      <c r="K38" s="115" t="s">
        <v>309</v>
      </c>
    </row>
    <row r="39" customFormat="false" ht="14.25" hidden="false" customHeight="true" outlineLevel="0" collapsed="false">
      <c r="A39" s="114" t="str">
        <f aca="false">IFERROR(__xludf.dummyfunction("ARRAY_CONSTRAIN(ARRAYFORMULA(FILTER(Gastos!D58:D105,Gastos!$G$24:$G$71=""Apartado A.1"")), 1, 1)"),"25471211E")</f>
        <v>25471211E</v>
      </c>
      <c r="B39" s="114" t="str">
        <f aca="false">IFERROR(__xludf.dummyfunction("ARRAY_CONSTRAIN(ARRAYFORMULA(FILTER(Gastos!F58:F105,Gastos!$G$24:$G$71=""Apartado A.1"")), 1, 1)"),"Nómina abril")</f>
        <v>Nómina abril</v>
      </c>
      <c r="C39" s="115" t="n">
        <f aca="false">IFERROR(__xludf.dummyfunction("ARRAY_CONSTRAIN(ARRAYFORMULA(FILTER(Gastos!H58:H105,Gastos!$G$24:$G$71=""Apartado A.1"")), 1, 1)"),1358.69)</f>
        <v>1358.69</v>
      </c>
      <c r="D39" s="116" t="n">
        <v>1</v>
      </c>
      <c r="E39" s="114" t="n">
        <v>35</v>
      </c>
      <c r="F39" s="117" t="n">
        <f aca="false">IF(A39="","",MIN(E39/(37.5),1))</f>
        <v>0.933333333333333</v>
      </c>
      <c r="G39" s="118" t="n">
        <v>0.1</v>
      </c>
      <c r="H39" s="116" t="s">
        <v>308</v>
      </c>
      <c r="I39" s="115" t="n">
        <f aca="false">IFERROR(__xludf.dummyfunction("ARRAY_CONSTRAIN(ARRAYFORMULA(FILTER(Gastos!M58:M105,Gastos!$G$24:$G$71=""Apartado A.1"")), 1, 1)"),67.935)</f>
        <v>67.935</v>
      </c>
      <c r="J39" s="119" t="e">
        <f aca="false" t="array" ref="J39:J39">IF(A39="","",ifs(AND(D39=1,H39="Pagas prorrateadas"),2705.41*(F39*G39),AND(D39=1,H39="Pagas no prorrateadas"),2318.93*(F39*G39),AND(D39=2,H39="Pagas prorrateadas"),2246.07*(F39*G39),AND(D39=2,H39="Pagas no prorrateadas"),1925.21*(F39*G39),AND(D39=3,H39="Pagas prorrateadas"),1775.44*(F39*G39),AND(D39=3,H39="Pagas no prorrateadas"),1521.81*(F39*G39),AND(D39=5,H39="Pagas prorrateadas"),1535.9*(F39*G39),AND(D39=5,H39="Pagas no prorrateadas"),1316.49*(F39*G39),AND(D39=7,H39="Pagas prorrateadas"),1493.61*(F39*G39),AND(D39=7,H39="Pagas no prorrateadas"),1280.24*(F39*G39)))</f>
        <v>#NAME?</v>
      </c>
      <c r="K39" s="115" t="s">
        <v>309</v>
      </c>
    </row>
    <row r="40" customFormat="false" ht="14.25" hidden="false" customHeight="true" outlineLevel="0" collapsed="false">
      <c r="A40" s="114" t="str">
        <f aca="false">IFERROR(__xludf.dummyfunction("ARRAY_CONSTRAIN(ARRAYFORMULA(FILTER(Gastos!D59:D106,Gastos!$G$24:$G$71=""Apartado A.1"")), 1, 1)"),"25471211E")</f>
        <v>25471211E</v>
      </c>
      <c r="B40" s="114" t="str">
        <f aca="false">IFERROR(__xludf.dummyfunction("ARRAY_CONSTRAIN(ARRAYFORMULA(FILTER(Gastos!F59:F106,Gastos!$G$24:$G$71=""Apartado A.1"")), 1, 1)"),"Nómina mayo")</f>
        <v>Nómina mayo</v>
      </c>
      <c r="C40" s="115" t="n">
        <f aca="false">IFERROR(__xludf.dummyfunction("ARRAY_CONSTRAIN(ARRAYFORMULA(FILTER(Gastos!H59:H106,Gastos!$G$24:$G$71=""Apartado A.1"")), 1, 1)"),1472.97)</f>
        <v>1472.97</v>
      </c>
      <c r="D40" s="116" t="n">
        <v>1</v>
      </c>
      <c r="E40" s="114" t="n">
        <v>35</v>
      </c>
      <c r="F40" s="117" t="n">
        <f aca="false">IF(A40="","",MIN(E40/(37.5),1))</f>
        <v>0.933333333333333</v>
      </c>
      <c r="G40" s="118" t="n">
        <v>0.1</v>
      </c>
      <c r="H40" s="116" t="s">
        <v>308</v>
      </c>
      <c r="I40" s="115" t="n">
        <f aca="false">IFERROR(__xludf.dummyfunction("ARRAY_CONSTRAIN(ARRAYFORMULA(FILTER(Gastos!M59:M106,Gastos!$G$24:$G$71=""Apartado A.1"")), 1, 1)"),73.65)</f>
        <v>73.65</v>
      </c>
      <c r="J40" s="119" t="e">
        <f aca="false" t="array" ref="J40:J40">IF(A40="","",ifs(AND(D40=1,H40="Pagas prorrateadas"),2705.41*(F40*G40),AND(D40=1,H40="Pagas no prorrateadas"),2318.93*(F40*G40),AND(D40=2,H40="Pagas prorrateadas"),2246.07*(F40*G40),AND(D40=2,H40="Pagas no prorrateadas"),1925.21*(F40*G40),AND(D40=3,H40="Pagas prorrateadas"),1775.44*(F40*G40),AND(D40=3,H40="Pagas no prorrateadas"),1521.81*(F40*G40),AND(D40=5,H40="Pagas prorrateadas"),1535.9*(F40*G40),AND(D40=5,H40="Pagas no prorrateadas"),1316.49*(F40*G40),AND(D40=7,H40="Pagas prorrateadas"),1493.61*(F40*G40),AND(D40=7,H40="Pagas no prorrateadas"),1280.24*(F40*G40)))</f>
        <v>#NAME?</v>
      </c>
      <c r="K40" s="115" t="s">
        <v>309</v>
      </c>
    </row>
    <row r="41" customFormat="false" ht="14.25" hidden="false" customHeight="true" outlineLevel="0" collapsed="false">
      <c r="A41" s="114" t="str">
        <f aca="false">IFERROR(__xludf.dummyfunction("ARRAY_CONSTRAIN(ARRAYFORMULA(FILTER(Gastos!D60:D107,Gastos!$G$24:$G$71=""Apartado A.1"")), 1, 1)"),"25471211E")</f>
        <v>25471211E</v>
      </c>
      <c r="B41" s="114" t="str">
        <f aca="false">IFERROR(__xludf.dummyfunction("ARRAY_CONSTRAIN(ARRAYFORMULA(FILTER(Gastos!F60:F107,Gastos!$G$24:$G$71=""Apartado A.1"")), 1, 1)"),"Extra junio")</f>
        <v>Extra junio</v>
      </c>
      <c r="C41" s="115" t="n">
        <f aca="false">IFERROR(__xludf.dummyfunction("ARRAY_CONSTRAIN(ARRAYFORMULA(FILTER(Gastos!H60:H107,Gastos!$G$24:$G$71=""Apartado A.1"")), 1, 1)"),1485.44)</f>
        <v>1485.44</v>
      </c>
      <c r="D41" s="116" t="n">
        <v>1</v>
      </c>
      <c r="E41" s="114" t="n">
        <v>35</v>
      </c>
      <c r="F41" s="117" t="n">
        <f aca="false">IF(A41="","",MIN(E41/(37.5),1))</f>
        <v>0.933333333333333</v>
      </c>
      <c r="G41" s="118" t="n">
        <v>0.1</v>
      </c>
      <c r="H41" s="116" t="s">
        <v>308</v>
      </c>
      <c r="I41" s="115" t="n">
        <f aca="false">IFERROR(__xludf.dummyfunction("ARRAY_CONSTRAIN(ARRAYFORMULA(FILTER(Gastos!M60:M107,Gastos!$G$24:$G$71=""Apartado A.1"")), 1, 1)"),74.27)</f>
        <v>74.27</v>
      </c>
      <c r="J41" s="119" t="e">
        <f aca="false" t="array" ref="J41:J41">IF(A41="","",ifs(AND(D41=1,H41="Pagas prorrateadas"),2705.41*(F41*G41),AND(D41=1,H41="Pagas no prorrateadas"),2318.93*(F41*G41),AND(D41=2,H41="Pagas prorrateadas"),2246.07*(F41*G41),AND(D41=2,H41="Pagas no prorrateadas"),1925.21*(F41*G41),AND(D41=3,H41="Pagas prorrateadas"),1775.44*(F41*G41),AND(D41=3,H41="Pagas no prorrateadas"),1521.81*(F41*G41),AND(D41=5,H41="Pagas prorrateadas"),1535.9*(F41*G41),AND(D41=5,H41="Pagas no prorrateadas"),1316.49*(F41*G41),AND(D41=7,H41="Pagas prorrateadas"),1493.61*(F41*G41),AND(D41=7,H41="Pagas no prorrateadas"),1280.24*(F41*G41)))</f>
        <v>#NAME?</v>
      </c>
      <c r="K41" s="115" t="s">
        <v>309</v>
      </c>
    </row>
    <row r="42" customFormat="false" ht="14.25" hidden="false" customHeight="true" outlineLevel="0" collapsed="false">
      <c r="A42" s="114" t="str">
        <f aca="false">IFERROR(__xludf.dummyfunction("ARRAY_CONSTRAIN(ARRAYFORMULA(FILTER(Gastos!D61:D108,Gastos!$G$24:$G$71=""Apartado A.1"")), 1, 1)"),"25471211E")</f>
        <v>25471211E</v>
      </c>
      <c r="B42" s="114" t="str">
        <f aca="false">IFERROR(__xludf.dummyfunction("ARRAY_CONSTRAIN(ARRAYFORMULA(FILTER(Gastos!F61:F108,Gastos!$G$24:$G$71=""Apartado A.1"")), 1, 1)"),"Nómina junio")</f>
        <v>Nómina junio</v>
      </c>
      <c r="C42" s="115" t="n">
        <f aca="false">IFERROR(__xludf.dummyfunction("ARRAY_CONSTRAIN(ARRAYFORMULA(FILTER(Gastos!H61:H108,Gastos!$G$24:$G$71=""Apartado A.1"")), 1, 1)"),1396.78)</f>
        <v>1396.78</v>
      </c>
      <c r="D42" s="116" t="n">
        <v>1</v>
      </c>
      <c r="E42" s="114" t="n">
        <v>35</v>
      </c>
      <c r="F42" s="117" t="n">
        <f aca="false">IF(A42="","",MIN(E42/(37.5),1))</f>
        <v>0.933333333333333</v>
      </c>
      <c r="G42" s="118" t="n">
        <v>0.1</v>
      </c>
      <c r="H42" s="116" t="s">
        <v>308</v>
      </c>
      <c r="I42" s="115" t="n">
        <f aca="false">IFERROR(__xludf.dummyfunction("ARRAY_CONSTRAIN(ARRAYFORMULA(FILTER(Gastos!M61:M108,Gastos!$G$24:$G$71=""Apartado A.1"")), 1, 1)"),69.84)</f>
        <v>69.84</v>
      </c>
      <c r="J42" s="119" t="e">
        <f aca="false" t="array" ref="J42:J42">IF(A42="","",ifs(AND(D42=1,H42="Pagas prorrateadas"),2705.41*(F42*G42),AND(D42=1,H42="Pagas no prorrateadas"),2318.93*(F42*G42),AND(D42=2,H42="Pagas prorrateadas"),2246.07*(F42*G42),AND(D42=2,H42="Pagas no prorrateadas"),1925.21*(F42*G42),AND(D42=3,H42="Pagas prorrateadas"),1775.44*(F42*G42),AND(D42=3,H42="Pagas no prorrateadas"),1521.81*(F42*G42),AND(D42=5,H42="Pagas prorrateadas"),1535.9*(F42*G42),AND(D42=5,H42="Pagas no prorrateadas"),1316.49*(F42*G42),AND(D42=7,H42="Pagas prorrateadas"),1493.61*(F42*G42),AND(D42=7,H42="Pagas no prorrateadas"),1280.24*(F42*G42)))</f>
        <v>#NAME?</v>
      </c>
      <c r="K42" s="115" t="s">
        <v>309</v>
      </c>
    </row>
    <row r="43" customFormat="false" ht="14.25" hidden="false" customHeight="true" outlineLevel="0" collapsed="false">
      <c r="A43" s="114" t="str">
        <f aca="false">IFERROR(__xludf.dummyfunction("ARRAY_CONSTRAIN(ARRAYFORMULA(FILTER(Gastos!D62:D109,Gastos!$G$24:$G$71=""Apartado A.1"")), 1, 1)"),"25471211E")</f>
        <v>25471211E</v>
      </c>
      <c r="B43" s="114" t="str">
        <f aca="false">IFERROR(__xludf.dummyfunction("ARRAY_CONSTRAIN(ARRAYFORMULA(FILTER(Gastos!F62:F109,Gastos!$G$24:$G$71=""Apartado A.1"")), 1, 1)"),"Nómina julio")</f>
        <v>Nómina julio</v>
      </c>
      <c r="C43" s="115" t="n">
        <f aca="false">IFERROR(__xludf.dummyfunction("ARRAY_CONSTRAIN(ARRAYFORMULA(FILTER(Gastos!H62:H109,Gastos!$G$24:$G$71=""Apartado A.1"")), 1, 1)"),1396.78)</f>
        <v>1396.78</v>
      </c>
      <c r="D43" s="116" t="n">
        <v>1</v>
      </c>
      <c r="E43" s="114" t="n">
        <v>35</v>
      </c>
      <c r="F43" s="117" t="n">
        <f aca="false">IF(A43="","",MIN(E43/(37.5),1))</f>
        <v>0.933333333333333</v>
      </c>
      <c r="G43" s="118" t="n">
        <v>0.1</v>
      </c>
      <c r="H43" s="116" t="s">
        <v>308</v>
      </c>
      <c r="I43" s="115" t="n">
        <f aca="false">IFERROR(__xludf.dummyfunction("ARRAY_CONSTRAIN(ARRAYFORMULA(FILTER(Gastos!M62:M109,Gastos!$G$24:$G$71=""Apartado A.1"")), 1, 1)"),69.84)</f>
        <v>69.84</v>
      </c>
      <c r="J43" s="119" t="e">
        <f aca="false" t="array" ref="J43:J43">IF(A43="","",ifs(AND(D43=1,H43="Pagas prorrateadas"),2705.41*(F43*G43),AND(D43=1,H43="Pagas no prorrateadas"),2318.93*(F43*G43),AND(D43=2,H43="Pagas prorrateadas"),2246.07*(F43*G43),AND(D43=2,H43="Pagas no prorrateadas"),1925.21*(F43*G43),AND(D43=3,H43="Pagas prorrateadas"),1775.44*(F43*G43),AND(D43=3,H43="Pagas no prorrateadas"),1521.81*(F43*G43),AND(D43=5,H43="Pagas prorrateadas"),1535.9*(F43*G43),AND(D43=5,H43="Pagas no prorrateadas"),1316.49*(F43*G43),AND(D43=7,H43="Pagas prorrateadas"),1493.61*(F43*G43),AND(D43=7,H43="Pagas no prorrateadas"),1280.24*(F43*G43)))</f>
        <v>#NAME?</v>
      </c>
      <c r="K43" s="115" t="s">
        <v>309</v>
      </c>
    </row>
    <row r="44" customFormat="false" ht="14.25" hidden="false" customHeight="true" outlineLevel="0" collapsed="false">
      <c r="A44" s="114" t="str">
        <f aca="false">IFERROR(__xludf.dummyfunction("ARRAY_CONSTRAIN(ARRAYFORMULA(FILTER(Gastos!D63:D110,Gastos!$G$24:$G$71=""Apartado A.1"")), 1, 1)"),"25471211E")</f>
        <v>25471211E</v>
      </c>
      <c r="B44" s="114" t="str">
        <f aca="false">IFERROR(__xludf.dummyfunction("ARRAY_CONSTRAIN(ARRAYFORMULA(FILTER(Gastos!F63:F110,Gastos!$G$24:$G$71=""Apartado A.1"")), 1, 1)"),"Nómina agosto")</f>
        <v>Nómina agosto</v>
      </c>
      <c r="C44" s="115" t="n">
        <f aca="false">IFERROR(__xludf.dummyfunction("ARRAY_CONSTRAIN(ARRAYFORMULA(FILTER(Gastos!H63:H110,Gastos!$G$24:$G$71=""Apartado A.1"")), 1, 1)"),1396.78)</f>
        <v>1396.78</v>
      </c>
      <c r="D44" s="116" t="n">
        <v>1</v>
      </c>
      <c r="E44" s="114" t="n">
        <v>35</v>
      </c>
      <c r="F44" s="117" t="n">
        <f aca="false">IF(A44="","",MIN(E44/(37.5),1))</f>
        <v>0.933333333333333</v>
      </c>
      <c r="G44" s="118" t="n">
        <v>0.1</v>
      </c>
      <c r="H44" s="116" t="s">
        <v>308</v>
      </c>
      <c r="I44" s="115" t="n">
        <f aca="false">IFERROR(__xludf.dummyfunction("ARRAY_CONSTRAIN(ARRAYFORMULA(FILTER(Gastos!M63:M110,Gastos!$G$24:$G$71=""Apartado A.1"")), 1, 1)"),69.84)</f>
        <v>69.84</v>
      </c>
      <c r="J44" s="119" t="e">
        <f aca="false" t="array" ref="J44:J44">IF(A44="","",ifs(AND(D44=1,H44="Pagas prorrateadas"),2705.41*(F44*G44),AND(D44=1,H44="Pagas no prorrateadas"),2318.93*(F44*G44),AND(D44=2,H44="Pagas prorrateadas"),2246.07*(F44*G44),AND(D44=2,H44="Pagas no prorrateadas"),1925.21*(F44*G44),AND(D44=3,H44="Pagas prorrateadas"),1775.44*(F44*G44),AND(D44=3,H44="Pagas no prorrateadas"),1521.81*(F44*G44),AND(D44=5,H44="Pagas prorrateadas"),1535.9*(F44*G44),AND(D44=5,H44="Pagas no prorrateadas"),1316.49*(F44*G44),AND(D44=7,H44="Pagas prorrateadas"),1493.61*(F44*G44),AND(D44=7,H44="Pagas no prorrateadas"),1280.24*(F44*G44)))</f>
        <v>#NAME?</v>
      </c>
      <c r="K44" s="115" t="s">
        <v>309</v>
      </c>
    </row>
    <row r="45" customFormat="false" ht="14.25" hidden="false" customHeight="true" outlineLevel="0" collapsed="false">
      <c r="A45" s="114" t="str">
        <f aca="false">IFERROR(__xludf.dummyfunction("ARRAY_CONSTRAIN(ARRAYFORMULA(FILTER(Gastos!D64:D111,Gastos!$G$24:$G$71=""Apartado A.1"")), 1, 1)"),"25471211E")</f>
        <v>25471211E</v>
      </c>
      <c r="B45" s="114" t="str">
        <f aca="false">IFERROR(__xludf.dummyfunction("ARRAY_CONSTRAIN(ARRAYFORMULA(FILTER(Gastos!F64:F111,Gastos!$G$24:$G$71=""Apartado A.1"")), 1, 1)"),"Nómina septiembre")</f>
        <v>Nómina septiembre</v>
      </c>
      <c r="C45" s="115" t="n">
        <f aca="false">IFERROR(__xludf.dummyfunction("ARRAY_CONSTRAIN(ARRAYFORMULA(FILTER(Gastos!H64:H111,Gastos!$G$24:$G$71=""Apartado A.1"")), 1, 1)"),1396.78)</f>
        <v>1396.78</v>
      </c>
      <c r="D45" s="116" t="n">
        <v>1</v>
      </c>
      <c r="E45" s="114" t="n">
        <v>35</v>
      </c>
      <c r="F45" s="117" t="n">
        <f aca="false">IF(A45="","",MIN(E45/(37.5),1))</f>
        <v>0.933333333333333</v>
      </c>
      <c r="G45" s="118" t="n">
        <v>0.1</v>
      </c>
      <c r="H45" s="116" t="s">
        <v>308</v>
      </c>
      <c r="I45" s="115" t="n">
        <f aca="false">IFERROR(__xludf.dummyfunction("ARRAY_CONSTRAIN(ARRAYFORMULA(FILTER(Gastos!M64:M111,Gastos!$G$24:$G$71=""Apartado A.1"")), 1, 1)"),69.84)</f>
        <v>69.84</v>
      </c>
      <c r="J45" s="119" t="e">
        <f aca="false" t="array" ref="J45:J45">IF(A45="","",ifs(AND(D45=1,H45="Pagas prorrateadas"),2705.41*(F45*G45),AND(D45=1,H45="Pagas no prorrateadas"),2318.93*(F45*G45),AND(D45=2,H45="Pagas prorrateadas"),2246.07*(F45*G45),AND(D45=2,H45="Pagas no prorrateadas"),1925.21*(F45*G45),AND(D45=3,H45="Pagas prorrateadas"),1775.44*(F45*G45),AND(D45=3,H45="Pagas no prorrateadas"),1521.81*(F45*G45),AND(D45=5,H45="Pagas prorrateadas"),1535.9*(F45*G45),AND(D45=5,H45="Pagas no prorrateadas"),1316.49*(F45*G45),AND(D45=7,H45="Pagas prorrateadas"),1493.61*(F45*G45),AND(D45=7,H45="Pagas no prorrateadas"),1280.24*(F45*G45)))</f>
        <v>#NAME?</v>
      </c>
      <c r="K45" s="115" t="s">
        <v>309</v>
      </c>
    </row>
    <row r="46" customFormat="false" ht="14.25" hidden="false" customHeight="true" outlineLevel="0" collapsed="false">
      <c r="A46" s="114" t="str">
        <f aca="false">IFERROR(__xludf.dummyfunction("ARRAY_CONSTRAIN(ARRAYFORMULA(FILTER(Gastos!D65:D112,Gastos!$G$24:$G$71=""Apartado A.1"")), 1, 1)"),"25471211E")</f>
        <v>25471211E</v>
      </c>
      <c r="B46" s="114" t="str">
        <f aca="false">IFERROR(__xludf.dummyfunction("ARRAY_CONSTRAIN(ARRAYFORMULA(FILTER(Gastos!F65:F112,Gastos!$G$24:$G$71=""Apartado A.1"")), 1, 1)"),"Nómina octubre")</f>
        <v>Nómina octubre</v>
      </c>
      <c r="C46" s="115" t="n">
        <f aca="false">IFERROR(__xludf.dummyfunction("ARRAY_CONSTRAIN(ARRAYFORMULA(FILTER(Gastos!H65:H112,Gastos!$G$24:$G$71=""Apartado A.1"")), 1, 1)"),1369.22)</f>
        <v>1369.22</v>
      </c>
      <c r="D46" s="116" t="n">
        <v>1</v>
      </c>
      <c r="E46" s="114" t="n">
        <v>35</v>
      </c>
      <c r="F46" s="117" t="n">
        <f aca="false">IF(A46="","",MIN(E46/(37.5),1))</f>
        <v>0.933333333333333</v>
      </c>
      <c r="G46" s="118" t="n">
        <v>0.1</v>
      </c>
      <c r="H46" s="116" t="s">
        <v>308</v>
      </c>
      <c r="I46" s="115" t="n">
        <f aca="false">IFERROR(__xludf.dummyfunction("ARRAY_CONSTRAIN(ARRAYFORMULA(FILTER(Gastos!M65:M112,Gastos!$G$24:$G$71=""Apartado A.1"")), 1, 1)"),68.46)</f>
        <v>68.46</v>
      </c>
      <c r="J46" s="119" t="e">
        <f aca="false" t="array" ref="J46:J46">IF(A46="","",ifs(AND(D46=1,H46="Pagas prorrateadas"),2705.41*(F46*G46),AND(D46=1,H46="Pagas no prorrateadas"),2318.93*(F46*G46),AND(D46=2,H46="Pagas prorrateadas"),2246.07*(F46*G46),AND(D46=2,H46="Pagas no prorrateadas"),1925.21*(F46*G46),AND(D46=3,H46="Pagas prorrateadas"),1775.44*(F46*G46),AND(D46=3,H46="Pagas no prorrateadas"),1521.81*(F46*G46),AND(D46=5,H46="Pagas prorrateadas"),1535.9*(F46*G46),AND(D46=5,H46="Pagas no prorrateadas"),1316.49*(F46*G46),AND(D46=7,H46="Pagas prorrateadas"),1493.61*(F46*G46),AND(D46=7,H46="Pagas no prorrateadas"),1280.24*(F46*G46)))</f>
        <v>#NAME?</v>
      </c>
      <c r="K46" s="115" t="s">
        <v>309</v>
      </c>
    </row>
    <row r="47" customFormat="false" ht="14.25" hidden="false" customHeight="true" outlineLevel="0" collapsed="false">
      <c r="A47" s="114" t="str">
        <f aca="false">IFERROR(__xludf.dummyfunction("ARRAY_CONSTRAIN(ARRAYFORMULA(FILTER(Gastos!D66:D113,Gastos!$G$24:$G$71=""Apartado A.1"")), 1, 1)"),"25471211E")</f>
        <v>25471211E</v>
      </c>
      <c r="B47" s="114" t="str">
        <f aca="false">IFERROR(__xludf.dummyfunction("ARRAY_CONSTRAIN(ARRAYFORMULA(FILTER(Gastos!F66:F113,Gastos!$G$24:$G$71=""Apartado A.1"")), 1, 1)"),"Paga extra diciembre")</f>
        <v>Paga extra diciembre</v>
      </c>
      <c r="C47" s="115" t="n">
        <f aca="false">IFERROR(__xludf.dummyfunction("ARRAY_CONSTRAIN(ARRAYFORMULA(FILTER(Gastos!H66:H113,Gastos!$G$24:$G$71=""Apartado A.1"")), 1, 1)"),1351.14)</f>
        <v>1351.14</v>
      </c>
      <c r="D47" s="116" t="n">
        <v>1</v>
      </c>
      <c r="E47" s="114" t="n">
        <v>35</v>
      </c>
      <c r="F47" s="117" t="n">
        <f aca="false">IF(A47="","",MIN(E47/(37.5),1))</f>
        <v>0.933333333333333</v>
      </c>
      <c r="G47" s="118" t="n">
        <v>0.1</v>
      </c>
      <c r="H47" s="116" t="s">
        <v>308</v>
      </c>
      <c r="I47" s="115" t="n">
        <f aca="false">IFERROR(__xludf.dummyfunction("ARRAY_CONSTRAIN(ARRAYFORMULA(FILTER(Gastos!M66:M113,Gastos!$G$24:$G$71=""Apartado A.1"")), 1, 1)"),67.555)</f>
        <v>67.555</v>
      </c>
      <c r="J47" s="119" t="e">
        <f aca="false" t="array" ref="J47:J47">IF(A47="","",ifs(AND(D47=1,H47="Pagas prorrateadas"),2705.41*(F47*G47),AND(D47=1,H47="Pagas no prorrateadas"),2318.93*(F47*G47),AND(D47=2,H47="Pagas prorrateadas"),2246.07*(F47*G47),AND(D47=2,H47="Pagas no prorrateadas"),1925.21*(F47*G47),AND(D47=3,H47="Pagas prorrateadas"),1775.44*(F47*G47),AND(D47=3,H47="Pagas no prorrateadas"),1521.81*(F47*G47),AND(D47=5,H47="Pagas prorrateadas"),1535.9*(F47*G47),AND(D47=5,H47="Pagas no prorrateadas"),1316.49*(F47*G47),AND(D47=7,H47="Pagas prorrateadas"),1493.61*(F47*G47),AND(D47=7,H47="Pagas no prorrateadas"),1280.24*(F47*G47)))</f>
        <v>#NAME?</v>
      </c>
      <c r="K47" s="115" t="s">
        <v>309</v>
      </c>
    </row>
    <row r="48" customFormat="false" ht="14.25" hidden="false" customHeight="true" outlineLevel="0" collapsed="false">
      <c r="A48" s="114" t="str">
        <f aca="false">IFERROR(__xludf.dummyfunction("ARRAY_CONSTRAIN(ARRAYFORMULA(FILTER(Gastos!D67:D114,Gastos!$G$24:$G$71=""Apartado A.1"")), 1, 1)"),"X5357493B")</f>
        <v>X5357493B</v>
      </c>
      <c r="B48" s="114" t="str">
        <f aca="false">IFERROR(__xludf.dummyfunction("ARRAY_CONSTRAIN(ARRAYFORMULA(FILTER(Gastos!F67:F114,Gastos!$G$24:$G$71=""Apartado A.1"")), 1, 1)"),"Nómina enero")</f>
        <v>Nómina enero</v>
      </c>
      <c r="C48" s="115" t="n">
        <f aca="false">IFERROR(__xludf.dummyfunction("ARRAY_CONSTRAIN(ARRAYFORMULA(FILTER(Gastos!H67:H114,Gastos!$G$24:$G$71=""Apartado A.1"")), 1, 1)"),1086.11)</f>
        <v>1086.11</v>
      </c>
      <c r="D48" s="116" t="n">
        <v>1</v>
      </c>
      <c r="E48" s="114" t="n">
        <v>35</v>
      </c>
      <c r="F48" s="117" t="n">
        <f aca="false">IF(A48="","",MIN(E48/(37.5),1))</f>
        <v>0.933333333333333</v>
      </c>
      <c r="G48" s="118" t="n">
        <v>0.5</v>
      </c>
      <c r="H48" s="116" t="s">
        <v>308</v>
      </c>
      <c r="I48" s="115" t="n">
        <f aca="false">IFERROR(__xludf.dummyfunction("ARRAY_CONSTRAIN(ARRAYFORMULA(FILTER(Gastos!M67:M114,Gastos!$G$24:$G$71=""Apartado A.1"")), 1, 1)"),271.53)</f>
        <v>271.53</v>
      </c>
      <c r="J48" s="119" t="e">
        <f aca="false" t="array" ref="J48:J48">IF(A48="","",ifs(AND(D48=1,H48="Pagas prorrateadas"),2705.41*(F48*G48),AND(D48=1,H48="Pagas no prorrateadas"),2318.93*(F48*G48),AND(D48=2,H48="Pagas prorrateadas"),2246.07*(F48*G48),AND(D48=2,H48="Pagas no prorrateadas"),1925.21*(F48*G48),AND(D48=3,H48="Pagas prorrateadas"),1775.44*(F48*G48),AND(D48=3,H48="Pagas no prorrateadas"),1521.81*(F48*G48),AND(D48=5,H48="Pagas prorrateadas"),1535.9*(F48*G48),AND(D48=5,H48="Pagas no prorrateadas"),1316.49*(F48*G48),AND(D48=7,H48="Pagas prorrateadas"),1493.61*(F48*G48),AND(D48=7,H48="Pagas no prorrateadas"),1280.24*(F48*G48)))</f>
        <v>#NAME?</v>
      </c>
      <c r="K48" s="115" t="s">
        <v>309</v>
      </c>
    </row>
    <row r="49" customFormat="false" ht="14.25" hidden="false" customHeight="true" outlineLevel="0" collapsed="false">
      <c r="A49" s="114" t="str">
        <f aca="false">IFERROR(__xludf.dummyfunction("ARRAY_CONSTRAIN(ARRAYFORMULA(FILTER(Gastos!D68:D115,Gastos!$G$24:$G$71=""Apartado A.1"")), 1, 1)"),"X5357493B")</f>
        <v>X5357493B</v>
      </c>
      <c r="B49" s="114" t="str">
        <f aca="false">IFERROR(__xludf.dummyfunction("ARRAY_CONSTRAIN(ARRAYFORMULA(FILTER(Gastos!F68:F115,Gastos!$G$24:$G$71=""Apartado A.1"")), 1, 1)"),"Nómina febrero")</f>
        <v>Nómina febrero</v>
      </c>
      <c r="C49" s="115" t="n">
        <f aca="false">IFERROR(__xludf.dummyfunction("ARRAY_CONSTRAIN(ARRAYFORMULA(FILTER(Gastos!H68:H115,Gastos!$G$24:$G$71=""Apartado A.1"")), 1, 1)"),325.83)</f>
        <v>325.83</v>
      </c>
      <c r="D49" s="116" t="n">
        <v>1</v>
      </c>
      <c r="E49" s="114" t="n">
        <v>35</v>
      </c>
      <c r="F49" s="117" t="n">
        <f aca="false">IF(A49="","",MIN(E49/(37.5),1))</f>
        <v>0.933333333333333</v>
      </c>
      <c r="G49" s="118" t="n">
        <v>0.3</v>
      </c>
      <c r="H49" s="116" t="s">
        <v>308</v>
      </c>
      <c r="I49" s="115" t="n">
        <f aca="false">IFERROR(__xludf.dummyfunction("ARRAY_CONSTRAIN(ARRAYFORMULA(FILTER(Gastos!M68:M115,Gastos!$G$24:$G$71=""Apartado A.1"")), 1, 1)"),48.875)</f>
        <v>48.875</v>
      </c>
      <c r="J49" s="119" t="e">
        <f aca="false" t="array" ref="J49:J49">IF(A49="","",ifs(AND(D49=1,H49="Pagas prorrateadas"),2705.41*(F49*G49),AND(D49=1,H49="Pagas no prorrateadas"),2318.93*(F49*G49),AND(D49=2,H49="Pagas prorrateadas"),2246.07*(F49*G49),AND(D49=2,H49="Pagas no prorrateadas"),1925.21*(F49*G49),AND(D49=3,H49="Pagas prorrateadas"),1775.44*(F49*G49),AND(D49=3,H49="Pagas no prorrateadas"),1521.81*(F49*G49),AND(D49=5,H49="Pagas prorrateadas"),1535.9*(F49*G49),AND(D49=5,H49="Pagas no prorrateadas"),1316.49*(F49*G49),AND(D49=7,H49="Pagas prorrateadas"),1493.61*(F49*G49),AND(D49=7,H49="Pagas no prorrateadas"),1280.24*(F49*G49)))</f>
        <v>#NAME?</v>
      </c>
      <c r="K49" s="115" t="s">
        <v>309</v>
      </c>
    </row>
    <row r="50" customFormat="false" ht="14.25" hidden="false" customHeight="true" outlineLevel="0" collapsed="false">
      <c r="A50" s="114" t="str">
        <f aca="false">IFERROR(__xludf.dummyfunction("ARRAY_CONSTRAIN(ARRAYFORMULA(FILTER(Gastos!D69:D116,Gastos!$G$24:$G$71=""Apartado A.1"")), 1, 1)"),"X5357493B")</f>
        <v>X5357493B</v>
      </c>
      <c r="B50" s="114" t="str">
        <f aca="false">IFERROR(__xludf.dummyfunction("ARRAY_CONSTRAIN(ARRAYFORMULA(FILTER(Gastos!F69:F116,Gastos!$G$24:$G$71=""Apartado A.1"")), 1, 1)"),"Nómina febrero")</f>
        <v>Nómina febrero</v>
      </c>
      <c r="C50" s="115" t="n">
        <f aca="false">IFERROR(__xludf.dummyfunction("ARRAY_CONSTRAIN(ARRAYFORMULA(FILTER(Gastos!H69:H116,Gastos!$G$24:$G$71=""Apartado A.1"")), 1, 1)"),1331.49)</f>
        <v>1331.49</v>
      </c>
      <c r="D50" s="116" t="n">
        <v>1</v>
      </c>
      <c r="E50" s="114" t="n">
        <v>35</v>
      </c>
      <c r="F50" s="117" t="n">
        <f aca="false">IF(A50="","",MIN(E50/(37.5),1))</f>
        <v>0.933333333333333</v>
      </c>
      <c r="G50" s="118" t="n">
        <v>0.3</v>
      </c>
      <c r="H50" s="116" t="s">
        <v>308</v>
      </c>
      <c r="I50" s="115" t="n">
        <f aca="false">IFERROR(__xludf.dummyfunction("ARRAY_CONSTRAIN(ARRAYFORMULA(FILTER(Gastos!M69:M116,Gastos!$G$24:$G$71=""Apartado A.1"")), 1, 1)"),199.725)</f>
        <v>199.725</v>
      </c>
      <c r="J50" s="119" t="e">
        <f aca="false" t="array" ref="J50:J50">IF(A50="","",ifs(AND(D50=1,H50="Pagas prorrateadas"),2705.41*(F50*G50),AND(D50=1,H50="Pagas no prorrateadas"),2318.93*(F50*G50),AND(D50=2,H50="Pagas prorrateadas"),2246.07*(F50*G50),AND(D50=2,H50="Pagas no prorrateadas"),1925.21*(F50*G50),AND(D50=3,H50="Pagas prorrateadas"),1775.44*(F50*G50),AND(D50=3,H50="Pagas no prorrateadas"),1521.81*(F50*G50),AND(D50=5,H50="Pagas prorrateadas"),1535.9*(F50*G50),AND(D50=5,H50="Pagas no prorrateadas"),1316.49*(F50*G50),AND(D50=7,H50="Pagas prorrateadas"),1493.61*(F50*G50),AND(D50=7,H50="Pagas no prorrateadas"),1280.24*(F50*G50)))</f>
        <v>#NAME?</v>
      </c>
      <c r="K50" s="115" t="s">
        <v>309</v>
      </c>
    </row>
    <row r="51" customFormat="false" ht="14.25" hidden="false" customHeight="true" outlineLevel="0" collapsed="false">
      <c r="A51" s="114" t="str">
        <f aca="false">IFERROR(__xludf.dummyfunction("ARRAY_CONSTRAIN(ARRAYFORMULA(FILTER(Gastos!D70:D117,Gastos!$G$24:$G$71=""Apartado A.1"")), 1, 1)"),"X5357493B")</f>
        <v>X5357493B</v>
      </c>
      <c r="B51" s="114" t="str">
        <f aca="false">IFERROR(__xludf.dummyfunction("ARRAY_CONSTRAIN(ARRAYFORMULA(FILTER(Gastos!F70:F117,Gastos!$G$24:$G$71=""Apartado A.1"")), 1, 1)"),"Nómina marzo")</f>
        <v>Nómina marzo</v>
      </c>
      <c r="C51" s="115" t="n">
        <f aca="false">IFERROR(__xludf.dummyfunction("ARRAY_CONSTRAIN(ARRAYFORMULA(FILTER(Gastos!H70:H117,Gastos!$G$24:$G$71=""Apartado A.1"")), 1, 1)"),1902.12)</f>
        <v>1902.12</v>
      </c>
      <c r="D51" s="116" t="n">
        <v>1</v>
      </c>
      <c r="E51" s="114" t="n">
        <v>35</v>
      </c>
      <c r="F51" s="117" t="n">
        <f aca="false">IF(A51="","",MIN(E51/(37.5),1))</f>
        <v>0.933333333333333</v>
      </c>
      <c r="G51" s="118" t="n">
        <v>0.3</v>
      </c>
      <c r="H51" s="116" t="s">
        <v>308</v>
      </c>
      <c r="I51" s="115" t="n">
        <f aca="false">IFERROR(__xludf.dummyfunction("ARRAY_CONSTRAIN(ARRAYFORMULA(FILTER(Gastos!M70:M117,Gastos!$G$24:$G$71=""Apartado A.1"")), 1, 1)"),285.32)</f>
        <v>285.32</v>
      </c>
      <c r="J51" s="119" t="e">
        <f aca="false" t="array" ref="J51:J51">IF(A51="","",ifs(AND(D51=1,H51="Pagas prorrateadas"),2705.41*(F51*G51),AND(D51=1,H51="Pagas no prorrateadas"),2318.93*(F51*G51),AND(D51=2,H51="Pagas prorrateadas"),2246.07*(F51*G51),AND(D51=2,H51="Pagas no prorrateadas"),1925.21*(F51*G51),AND(D51=3,H51="Pagas prorrateadas"),1775.44*(F51*G51),AND(D51=3,H51="Pagas no prorrateadas"),1521.81*(F51*G51),AND(D51=5,H51="Pagas prorrateadas"),1535.9*(F51*G51),AND(D51=5,H51="Pagas no prorrateadas"),1316.49*(F51*G51),AND(D51=7,H51="Pagas prorrateadas"),1493.61*(F51*G51),AND(D51=7,H51="Pagas no prorrateadas"),1280.24*(F51*G51)))</f>
        <v>#NAME?</v>
      </c>
      <c r="K51" s="115" t="s">
        <v>309</v>
      </c>
    </row>
    <row r="52" customFormat="false" ht="14.25" hidden="false" customHeight="true" outlineLevel="0" collapsed="false">
      <c r="A52" s="114" t="str">
        <f aca="false">IFERROR(__xludf.dummyfunction("ARRAY_CONSTRAIN(ARRAYFORMULA(FILTER(Gastos!D71:D118,Gastos!$G$24:$G$71=""Apartado A.1"")), 1, 1)"),"X5357493B")</f>
        <v>X5357493B</v>
      </c>
      <c r="B52" s="114" t="str">
        <f aca="false">IFERROR(__xludf.dummyfunction("ARRAY_CONSTRAIN(ARRAYFORMULA(FILTER(Gastos!F71:F118,Gastos!$G$24:$G$71=""Apartado A.1"")), 1, 1)"),"Nómina abril")</f>
        <v>Nómina abril</v>
      </c>
      <c r="C52" s="115" t="n">
        <f aca="false">IFERROR(__xludf.dummyfunction("ARRAY_CONSTRAIN(ARRAYFORMULA(FILTER(Gastos!H71:H118,Gastos!$G$24:$G$71=""Apartado A.1"")), 1, 1)"),1902.12)</f>
        <v>1902.12</v>
      </c>
      <c r="D52" s="116" t="n">
        <v>1</v>
      </c>
      <c r="E52" s="114" t="n">
        <v>35</v>
      </c>
      <c r="F52" s="117" t="n">
        <f aca="false">IF(A52="","",MIN(E52/(37.5),1))</f>
        <v>0.933333333333333</v>
      </c>
      <c r="G52" s="118" t="n">
        <v>0.3</v>
      </c>
      <c r="H52" s="116" t="s">
        <v>308</v>
      </c>
      <c r="I52" s="115" t="n">
        <f aca="false">IFERROR(__xludf.dummyfunction("ARRAY_CONSTRAIN(ARRAYFORMULA(FILTER(Gastos!M71:M118,Gastos!$G$24:$G$71=""Apartado A.1"")), 1, 1)"),285.32)</f>
        <v>285.32</v>
      </c>
      <c r="J52" s="119" t="e">
        <f aca="false" t="array" ref="J52:J52">IF(A52="","",ifs(AND(D52=1,H52="Pagas prorrateadas"),2705.41*(F52*G52),AND(D52=1,H52="Pagas no prorrateadas"),2318.93*(F52*G52),AND(D52=2,H52="Pagas prorrateadas"),2246.07*(F52*G52),AND(D52=2,H52="Pagas no prorrateadas"),1925.21*(F52*G52),AND(D52=3,H52="Pagas prorrateadas"),1775.44*(F52*G52),AND(D52=3,H52="Pagas no prorrateadas"),1521.81*(F52*G52),AND(D52=5,H52="Pagas prorrateadas"),1535.9*(F52*G52),AND(D52=5,H52="Pagas no prorrateadas"),1316.49*(F52*G52),AND(D52=7,H52="Pagas prorrateadas"),1493.61*(F52*G52),AND(D52=7,H52="Pagas no prorrateadas"),1280.24*(F52*G52)))</f>
        <v>#NAME?</v>
      </c>
      <c r="K52" s="115" t="s">
        <v>309</v>
      </c>
    </row>
    <row r="53" customFormat="false" ht="14.25" hidden="false" customHeight="true" outlineLevel="0" collapsed="false">
      <c r="A53" s="114" t="str">
        <f aca="false">IFERROR(__xludf.dummyfunction("ARRAY_CONSTRAIN(ARRAYFORMULA(FILTER(Gastos!D72:D119,Gastos!$G$24:$G$71=""Apartado A.1"")), 1, 1)"),"X5357493B")</f>
        <v>X5357493B</v>
      </c>
      <c r="B53" s="114" t="str">
        <f aca="false">IFERROR(__xludf.dummyfunction("ARRAY_CONSTRAIN(ARRAYFORMULA(FILTER(Gastos!F72:F119,Gastos!$G$24:$G$71=""Apartado A.1"")), 1, 1)"),"Nómina mayo")</f>
        <v>Nómina mayo</v>
      </c>
      <c r="C53" s="115" t="n">
        <f aca="false">IFERROR(__xludf.dummyfunction("ARRAY_CONSTRAIN(ARRAYFORMULA(FILTER(Gastos!H72:H119,Gastos!$G$24:$G$71=""Apartado A.1"")), 1, 1)"),2062.11)</f>
        <v>2062.11</v>
      </c>
      <c r="D53" s="116" t="n">
        <v>1</v>
      </c>
      <c r="E53" s="114" t="n">
        <v>35</v>
      </c>
      <c r="F53" s="117" t="n">
        <f aca="false">IF(A53="","",MIN(E53/(37.5),1))</f>
        <v>0.933333333333333</v>
      </c>
      <c r="G53" s="118" t="n">
        <v>0.5</v>
      </c>
      <c r="H53" s="116" t="s">
        <v>308</v>
      </c>
      <c r="I53" s="115" t="n">
        <f aca="false">IFERROR(__xludf.dummyfunction("ARRAY_CONSTRAIN(ARRAYFORMULA(FILTER(Gastos!M72:M119,Gastos!$G$24:$G$71=""Apartado A.1"")), 1, 1)"),515.53)</f>
        <v>515.53</v>
      </c>
      <c r="J53" s="119" t="e">
        <f aca="false" t="array" ref="J53:J53">IF(A53="","",ifs(AND(D53=1,H53="Pagas prorrateadas"),2705.41*(F53*G53),AND(D53=1,H53="Pagas no prorrateadas"),2318.93*(F53*G53),AND(D53=2,H53="Pagas prorrateadas"),2246.07*(F53*G53),AND(D53=2,H53="Pagas no prorrateadas"),1925.21*(F53*G53),AND(D53=3,H53="Pagas prorrateadas"),1775.44*(F53*G53),AND(D53=3,H53="Pagas no prorrateadas"),1521.81*(F53*G53),AND(D53=5,H53="Pagas prorrateadas"),1535.9*(F53*G53),AND(D53=5,H53="Pagas no prorrateadas"),1316.49*(F53*G53),AND(D53=7,H53="Pagas prorrateadas"),1493.61*(F53*G53),AND(D53=7,H53="Pagas no prorrateadas"),1280.24*(F53*G53)))</f>
        <v>#NAME?</v>
      </c>
      <c r="K53" s="115" t="s">
        <v>309</v>
      </c>
    </row>
    <row r="54" customFormat="false" ht="14.25" hidden="false" customHeight="true" outlineLevel="0" collapsed="false">
      <c r="A54" s="114" t="str">
        <f aca="false">IFERROR(__xludf.dummyfunction("ARRAY_CONSTRAIN(ARRAYFORMULA(FILTER(Gastos!D73:D120,Gastos!$G$24:$G$71=""Apartado A.1"")), 1, 1)"),"X5357493B")</f>
        <v>X5357493B</v>
      </c>
      <c r="B54" s="114" t="str">
        <f aca="false">IFERROR(__xludf.dummyfunction("ARRAY_CONSTRAIN(ARRAYFORMULA(FILTER(Gastos!F73:F120,Gastos!$G$24:$G$71=""Apartado A.1"")), 1, 1)"),"Extra junio")</f>
        <v>Extra junio</v>
      </c>
      <c r="C54" s="115" t="n">
        <f aca="false">IFERROR(__xludf.dummyfunction("ARRAY_CONSTRAIN(ARRAYFORMULA(FILTER(Gastos!H73:H120,Gastos!$G$24:$G$71=""Apartado A.1"")), 1, 1)"),1725.32)</f>
        <v>1725.32</v>
      </c>
      <c r="D54" s="116" t="n">
        <v>1</v>
      </c>
      <c r="E54" s="114" t="n">
        <v>35</v>
      </c>
      <c r="F54" s="117" t="n">
        <f aca="false">IF(A54="","",MIN(E54/(37.5),1))</f>
        <v>0.933333333333333</v>
      </c>
      <c r="G54" s="118" t="n">
        <v>0.3</v>
      </c>
      <c r="H54" s="116" t="s">
        <v>308</v>
      </c>
      <c r="I54" s="115" t="n">
        <f aca="false">IFERROR(__xludf.dummyfunction("ARRAY_CONSTRAIN(ARRAYFORMULA(FILTER(Gastos!M73:M120,Gastos!$G$24:$G$71=""Apartado A.1"")), 1, 1)"),258.8)</f>
        <v>258.8</v>
      </c>
      <c r="J54" s="119" t="e">
        <f aca="false" t="array" ref="J54:J54">IF(A54="","",ifs(AND(D54=1,H54="Pagas prorrateadas"),2705.41*(F54*G54),AND(D54=1,H54="Pagas no prorrateadas"),2318.93*(F54*G54),AND(D54=2,H54="Pagas prorrateadas"),2246.07*(F54*G54),AND(D54=2,H54="Pagas no prorrateadas"),1925.21*(F54*G54),AND(D54=3,H54="Pagas prorrateadas"),1775.44*(F54*G54),AND(D54=3,H54="Pagas no prorrateadas"),1521.81*(F54*G54),AND(D54=5,H54="Pagas prorrateadas"),1535.9*(F54*G54),AND(D54=5,H54="Pagas no prorrateadas"),1316.49*(F54*G54),AND(D54=7,H54="Pagas prorrateadas"),1493.61*(F54*G54),AND(D54=7,H54="Pagas no prorrateadas"),1280.24*(F54*G54)))</f>
        <v>#NAME?</v>
      </c>
      <c r="K54" s="115" t="s">
        <v>309</v>
      </c>
    </row>
    <row r="55" customFormat="false" ht="14.25" hidden="false" customHeight="true" outlineLevel="0" collapsed="false">
      <c r="A55" s="114" t="str">
        <f aca="false">IFERROR(__xludf.dummyfunction("ARRAY_CONSTRAIN(ARRAYFORMULA(FILTER(Gastos!D74:D121,Gastos!$G$24:$G$71=""Apartado A.1"")), 1, 1)"),"X5357493B")</f>
        <v>X5357493B</v>
      </c>
      <c r="B55" s="114" t="str">
        <f aca="false">IFERROR(__xludf.dummyfunction("ARRAY_CONSTRAIN(ARRAYFORMULA(FILTER(Gastos!F74:F121,Gastos!$G$24:$G$71=""Apartado A.1"")), 1, 1)"),"Nómina junio")</f>
        <v>Nómina junio</v>
      </c>
      <c r="C55" s="115" t="n">
        <f aca="false">IFERROR(__xludf.dummyfunction("ARRAY_CONSTRAIN(ARRAYFORMULA(FILTER(Gastos!H74:H121,Gastos!$G$24:$G$71=""Apartado A.1"")), 1, 1)"),1978.27)</f>
        <v>1978.27</v>
      </c>
      <c r="D55" s="116" t="n">
        <v>1</v>
      </c>
      <c r="E55" s="114" t="n">
        <v>35</v>
      </c>
      <c r="F55" s="117" t="n">
        <f aca="false">IF(A55="","",MIN(E55/(37.5),1))</f>
        <v>0.933333333333333</v>
      </c>
      <c r="G55" s="118" t="n">
        <v>0.5</v>
      </c>
      <c r="H55" s="116" t="s">
        <v>308</v>
      </c>
      <c r="I55" s="115" t="n">
        <f aca="false">IFERROR(__xludf.dummyfunction("ARRAY_CONSTRAIN(ARRAYFORMULA(FILTER(Gastos!M74:M121,Gastos!$G$24:$G$71=""Apartado A.1"")), 1, 1)"),494.57)</f>
        <v>494.57</v>
      </c>
      <c r="J55" s="119" t="e">
        <f aca="false" t="array" ref="J55:J55">IF(A55="","",ifs(AND(D55=1,H55="Pagas prorrateadas"),2705.41*(F55*G55),AND(D55=1,H55="Pagas no prorrateadas"),2318.93*(F55*G55),AND(D55=2,H55="Pagas prorrateadas"),2246.07*(F55*G55),AND(D55=2,H55="Pagas no prorrateadas"),1925.21*(F55*G55),AND(D55=3,H55="Pagas prorrateadas"),1775.44*(F55*G55),AND(D55=3,H55="Pagas no prorrateadas"),1521.81*(F55*G55),AND(D55=5,H55="Pagas prorrateadas"),1535.9*(F55*G55),AND(D55=5,H55="Pagas no prorrateadas"),1316.49*(F55*G55),AND(D55=7,H55="Pagas prorrateadas"),1493.61*(F55*G55),AND(D55=7,H55="Pagas no prorrateadas"),1280.24*(F55*G55)))</f>
        <v>#NAME?</v>
      </c>
      <c r="K55" s="115" t="s">
        <v>309</v>
      </c>
    </row>
    <row r="56" customFormat="false" ht="14.25" hidden="false" customHeight="true" outlineLevel="0" collapsed="false">
      <c r="A56" s="114" t="str">
        <f aca="false">IFERROR(__xludf.dummyfunction("ARRAY_CONSTRAIN(ARRAYFORMULA(FILTER(Gastos!D75:D122,Gastos!$G$24:$G$71=""Apartado A.1"")), 1, 1)"),"X5357493B")</f>
        <v>X5357493B</v>
      </c>
      <c r="B56" s="114" t="str">
        <f aca="false">IFERROR(__xludf.dummyfunction("ARRAY_CONSTRAIN(ARRAYFORMULA(FILTER(Gastos!F75:F122,Gastos!$G$24:$G$71=""Apartado A.1"")), 1, 1)"),"Nómina julio")</f>
        <v>Nómina julio</v>
      </c>
      <c r="C56" s="115" t="n">
        <f aca="false">IFERROR(__xludf.dummyfunction("ARRAY_CONSTRAIN(ARRAYFORMULA(FILTER(Gastos!H75:H122,Gastos!$G$24:$G$71=""Apartado A.1"")), 1, 1)"),1955.45)</f>
        <v>1955.45</v>
      </c>
      <c r="D56" s="116" t="n">
        <v>1</v>
      </c>
      <c r="E56" s="114" t="n">
        <v>35</v>
      </c>
      <c r="F56" s="117" t="n">
        <f aca="false">IF(A56="","",MIN(E56/(37.5),1))</f>
        <v>0.933333333333333</v>
      </c>
      <c r="G56" s="118" t="n">
        <v>0.5</v>
      </c>
      <c r="H56" s="116" t="s">
        <v>308</v>
      </c>
      <c r="I56" s="115" t="n">
        <f aca="false">IFERROR(__xludf.dummyfunction("ARRAY_CONSTRAIN(ARRAYFORMULA(FILTER(Gastos!M75:M122,Gastos!$G$24:$G$71=""Apartado A.1"")), 1, 1)"),488.865)</f>
        <v>488.865</v>
      </c>
      <c r="J56" s="119" t="e">
        <f aca="false" t="array" ref="J56:J56">IF(A56="","",ifs(AND(D56=1,H56="Pagas prorrateadas"),2705.41*(F56*G56),AND(D56=1,H56="Pagas no prorrateadas"),2318.93*(F56*G56),AND(D56=2,H56="Pagas prorrateadas"),2246.07*(F56*G56),AND(D56=2,H56="Pagas no prorrateadas"),1925.21*(F56*G56),AND(D56=3,H56="Pagas prorrateadas"),1775.44*(F56*G56),AND(D56=3,H56="Pagas no prorrateadas"),1521.81*(F56*G56),AND(D56=5,H56="Pagas prorrateadas"),1535.9*(F56*G56),AND(D56=5,H56="Pagas no prorrateadas"),1316.49*(F56*G56),AND(D56=7,H56="Pagas prorrateadas"),1493.61*(F56*G56),AND(D56=7,H56="Pagas no prorrateadas"),1280.24*(F56*G56)))</f>
        <v>#NAME?</v>
      </c>
      <c r="K56" s="115" t="s">
        <v>309</v>
      </c>
    </row>
    <row r="57" customFormat="false" ht="14.25" hidden="false" customHeight="true" outlineLevel="0" collapsed="false">
      <c r="A57" s="114" t="str">
        <f aca="false">IFERROR(__xludf.dummyfunction("ARRAY_CONSTRAIN(ARRAYFORMULA(FILTER(Gastos!D76:D123,Gastos!$G$24:$G$71=""Apartado A.1"")), 1, 1)"),"X5357493B")</f>
        <v>X5357493B</v>
      </c>
      <c r="B57" s="114" t="str">
        <f aca="false">IFERROR(__xludf.dummyfunction("ARRAY_CONSTRAIN(ARRAYFORMULA(FILTER(Gastos!F76:F123,Gastos!$G$24:$G$71=""Apartado A.1"")), 1, 1)"),"Nómina agosto")</f>
        <v>Nómina agosto</v>
      </c>
      <c r="C57" s="115" t="n">
        <f aca="false">IFERROR(__xludf.dummyfunction("ARRAY_CONSTRAIN(ARRAYFORMULA(FILTER(Gastos!H76:H123,Gastos!$G$24:$G$71=""Apartado A.1"")), 1, 1)"),1955.45)</f>
        <v>1955.45</v>
      </c>
      <c r="D57" s="116" t="n">
        <v>1</v>
      </c>
      <c r="E57" s="114" t="n">
        <v>35</v>
      </c>
      <c r="F57" s="117" t="n">
        <f aca="false">IF(A57="","",MIN(E57/(37.5),1))</f>
        <v>0.933333333333333</v>
      </c>
      <c r="G57" s="118" t="n">
        <v>0.5</v>
      </c>
      <c r="H57" s="116" t="s">
        <v>308</v>
      </c>
      <c r="I57" s="115" t="n">
        <f aca="false">IFERROR(__xludf.dummyfunction("ARRAY_CONSTRAIN(ARRAYFORMULA(FILTER(Gastos!M76:M123,Gastos!$G$24:$G$71=""Apartado A.1"")), 1, 1)"),488.865)</f>
        <v>488.865</v>
      </c>
      <c r="J57" s="119" t="e">
        <f aca="false" t="array" ref="J57:J57">IF(A57="","",ifs(AND(D57=1,H57="Pagas prorrateadas"),2705.41*(F57*G57),AND(D57=1,H57="Pagas no prorrateadas"),2318.93*(F57*G57),AND(D57=2,H57="Pagas prorrateadas"),2246.07*(F57*G57),AND(D57=2,H57="Pagas no prorrateadas"),1925.21*(F57*G57),AND(D57=3,H57="Pagas prorrateadas"),1775.44*(F57*G57),AND(D57=3,H57="Pagas no prorrateadas"),1521.81*(F57*G57),AND(D57=5,H57="Pagas prorrateadas"),1535.9*(F57*G57),AND(D57=5,H57="Pagas no prorrateadas"),1316.49*(F57*G57),AND(D57=7,H57="Pagas prorrateadas"),1493.61*(F57*G57),AND(D57=7,H57="Pagas no prorrateadas"),1280.24*(F57*G57)))</f>
        <v>#NAME?</v>
      </c>
      <c r="K57" s="115" t="s">
        <v>309</v>
      </c>
    </row>
    <row r="58" customFormat="false" ht="14.25" hidden="false" customHeight="true" outlineLevel="0" collapsed="false">
      <c r="A58" s="114" t="str">
        <f aca="false">IFERROR(__xludf.dummyfunction("ARRAY_CONSTRAIN(ARRAYFORMULA(FILTER(Gastos!D77:D124,Gastos!$G$24:$G$71=""Apartado A.1"")), 1, 1)"),"X5357493B")</f>
        <v>X5357493B</v>
      </c>
      <c r="B58" s="114" t="str">
        <f aca="false">IFERROR(__xludf.dummyfunction("ARRAY_CONSTRAIN(ARRAYFORMULA(FILTER(Gastos!F77:F124,Gastos!$G$24:$G$71=""Apartado A.1"")), 1, 1)"),"Nómina septiembre")</f>
        <v>Nómina septiembre</v>
      </c>
      <c r="C58" s="115" t="n">
        <f aca="false">IFERROR(__xludf.dummyfunction("ARRAY_CONSTRAIN(ARRAYFORMULA(FILTER(Gastos!H77:H124,Gastos!$G$24:$G$71=""Apartado A.1"")), 1, 1)"),1955.45)</f>
        <v>1955.45</v>
      </c>
      <c r="D58" s="116" t="n">
        <v>1</v>
      </c>
      <c r="E58" s="114" t="n">
        <v>35</v>
      </c>
      <c r="F58" s="117" t="n">
        <f aca="false">IF(A58="","",MIN(E58/(37.5),1))</f>
        <v>0.933333333333333</v>
      </c>
      <c r="G58" s="118" t="n">
        <v>0.5</v>
      </c>
      <c r="H58" s="116" t="s">
        <v>308</v>
      </c>
      <c r="I58" s="115" t="n">
        <f aca="false">IFERROR(__xludf.dummyfunction("ARRAY_CONSTRAIN(ARRAYFORMULA(FILTER(Gastos!M77:M124,Gastos!$G$24:$G$71=""Apartado A.1"")), 1, 1)"),488.865)</f>
        <v>488.865</v>
      </c>
      <c r="J58" s="119" t="e">
        <f aca="false" t="array" ref="J58:J58">IF(A58="","",ifs(AND(D58=1,H58="Pagas prorrateadas"),2705.41*(F58*G58),AND(D58=1,H58="Pagas no prorrateadas"),2318.93*(F58*G58),AND(D58=2,H58="Pagas prorrateadas"),2246.07*(F58*G58),AND(D58=2,H58="Pagas no prorrateadas"),1925.21*(F58*G58),AND(D58=3,H58="Pagas prorrateadas"),1775.44*(F58*G58),AND(D58=3,H58="Pagas no prorrateadas"),1521.81*(F58*G58),AND(D58=5,H58="Pagas prorrateadas"),1535.9*(F58*G58),AND(D58=5,H58="Pagas no prorrateadas"),1316.49*(F58*G58),AND(D58=7,H58="Pagas prorrateadas"),1493.61*(F58*G58),AND(D58=7,H58="Pagas no prorrateadas"),1280.24*(F58*G58)))</f>
        <v>#NAME?</v>
      </c>
      <c r="K58" s="115" t="s">
        <v>309</v>
      </c>
    </row>
    <row r="59" customFormat="false" ht="14.25" hidden="false" customHeight="true" outlineLevel="0" collapsed="false">
      <c r="A59" s="114" t="str">
        <f aca="false">IFERROR(__xludf.dummyfunction("ARRAY_CONSTRAIN(ARRAYFORMULA(FILTER(Gastos!D78:D125,Gastos!$G$24:$G$71=""Apartado A.1"")), 1, 1)"),"X5357493B")</f>
        <v>X5357493B</v>
      </c>
      <c r="B59" s="114" t="str">
        <f aca="false">IFERROR(__xludf.dummyfunction("ARRAY_CONSTRAIN(ARRAYFORMULA(FILTER(Gastos!F78:F125,Gastos!$G$24:$G$71=""Apartado A.1"")), 1, 1)"),"Nómina octubre")</f>
        <v>Nómina octubre</v>
      </c>
      <c r="C59" s="115" t="n">
        <f aca="false">IFERROR(__xludf.dummyfunction("ARRAY_CONSTRAIN(ARRAYFORMULA(FILTER(Gastos!H78:H125,Gastos!$G$24:$G$71=""Apartado A.1"")), 1, 1)"),1890.28)</f>
        <v>1890.28</v>
      </c>
      <c r="D59" s="116" t="n">
        <v>1</v>
      </c>
      <c r="E59" s="114" t="n">
        <v>35</v>
      </c>
      <c r="F59" s="117" t="n">
        <f aca="false">IF(A59="","",MIN(E59/(37.5),1))</f>
        <v>0.933333333333333</v>
      </c>
      <c r="G59" s="118" t="n">
        <v>0.5</v>
      </c>
      <c r="H59" s="116" t="s">
        <v>308</v>
      </c>
      <c r="I59" s="115" t="n">
        <f aca="false">IFERROR(__xludf.dummyfunction("ARRAY_CONSTRAIN(ARRAYFORMULA(FILTER(Gastos!M78:M125,Gastos!$G$24:$G$71=""Apartado A.1"")), 1, 1)"),472.57)</f>
        <v>472.57</v>
      </c>
      <c r="J59" s="119" t="e">
        <f aca="false" t="array" ref="J59:J59">IF(A59="","",ifs(AND(D59=1,H59="Pagas prorrateadas"),2705.41*(F59*G59),AND(D59=1,H59="Pagas no prorrateadas"),2318.93*(F59*G59),AND(D59=2,H59="Pagas prorrateadas"),2246.07*(F59*G59),AND(D59=2,H59="Pagas no prorrateadas"),1925.21*(F59*G59),AND(D59=3,H59="Pagas prorrateadas"),1775.44*(F59*G59),AND(D59=3,H59="Pagas no prorrateadas"),1521.81*(F59*G59),AND(D59=5,H59="Pagas prorrateadas"),1535.9*(F59*G59),AND(D59=5,H59="Pagas no prorrateadas"),1316.49*(F59*G59),AND(D59=7,H59="Pagas prorrateadas"),1493.61*(F59*G59),AND(D59=7,H59="Pagas no prorrateadas"),1280.24*(F59*G59)))</f>
        <v>#NAME?</v>
      </c>
      <c r="K59" s="115" t="s">
        <v>309</v>
      </c>
    </row>
    <row r="60" customFormat="false" ht="14.25" hidden="false" customHeight="true" outlineLevel="0" collapsed="false">
      <c r="A60" s="114" t="str">
        <f aca="false">IFERROR(__xludf.dummyfunction("ARRAY_CONSTRAIN(ARRAYFORMULA(FILTER(Gastos!D79:D126,Gastos!$G$24:$G$71=""Apartado A.1"")), 1, 1)"),"X5357493B")</f>
        <v>X5357493B</v>
      </c>
      <c r="B60" s="114" t="str">
        <f aca="false">IFERROR(__xludf.dummyfunction("ARRAY_CONSTRAIN(ARRAYFORMULA(FILTER(Gastos!F79:F126,Gastos!$G$24:$G$71=""Apartado A.1"")), 1, 1)"),"Nómina noviembre")</f>
        <v>Nómina noviembre</v>
      </c>
      <c r="C60" s="115" t="n">
        <f aca="false">IFERROR(__xludf.dummyfunction("ARRAY_CONSTRAIN(ARRAYFORMULA(FILTER(Gastos!H79:H126,Gastos!$G$24:$G$71=""Apartado A.1"")), 1, 1)"),1955.45)</f>
        <v>1955.45</v>
      </c>
      <c r="D60" s="116" t="n">
        <v>1</v>
      </c>
      <c r="E60" s="114" t="n">
        <v>35</v>
      </c>
      <c r="F60" s="117" t="n">
        <f aca="false">IF(A60="","",MIN(E60/(37.5),1))</f>
        <v>0.933333333333333</v>
      </c>
      <c r="G60" s="118" t="n">
        <v>0.5</v>
      </c>
      <c r="H60" s="116" t="s">
        <v>308</v>
      </c>
      <c r="I60" s="115" t="n">
        <f aca="false">IFERROR(__xludf.dummyfunction("ARRAY_CONSTRAIN(ARRAYFORMULA(FILTER(Gastos!M79:M126,Gastos!$G$24:$G$71=""Apartado A.1"")), 1, 1)"),488.865)</f>
        <v>488.865</v>
      </c>
      <c r="J60" s="119" t="e">
        <f aca="false" t="array" ref="J60:J60">IF(A60="","",ifs(AND(D60=1,H60="Pagas prorrateadas"),2705.41*(F60*G60),AND(D60=1,H60="Pagas no prorrateadas"),2318.93*(F60*G60),AND(D60=2,H60="Pagas prorrateadas"),2246.07*(F60*G60),AND(D60=2,H60="Pagas no prorrateadas"),1925.21*(F60*G60),AND(D60=3,H60="Pagas prorrateadas"),1775.44*(F60*G60),AND(D60=3,H60="Pagas no prorrateadas"),1521.81*(F60*G60),AND(D60=5,H60="Pagas prorrateadas"),1535.9*(F60*G60),AND(D60=5,H60="Pagas no prorrateadas"),1316.49*(F60*G60),AND(D60=7,H60="Pagas prorrateadas"),1493.61*(F60*G60),AND(D60=7,H60="Pagas no prorrateadas"),1280.24*(F60*G60)))</f>
        <v>#NAME?</v>
      </c>
      <c r="K60" s="115" t="s">
        <v>309</v>
      </c>
    </row>
    <row r="61" customFormat="false" ht="14.25" hidden="false" customHeight="true" outlineLevel="0" collapsed="false">
      <c r="A61" s="114" t="str">
        <f aca="false">IFERROR(__xludf.dummyfunction("ARRAY_CONSTRAIN(ARRAYFORMULA(FILTER(Gastos!D80:D127,Gastos!$G$24:$G$71=""Apartado A.1"")), 1, 1)"),"X5357493B")</f>
        <v>X5357493B</v>
      </c>
      <c r="B61" s="114" t="str">
        <f aca="false">IFERROR(__xludf.dummyfunction("ARRAY_CONSTRAIN(ARRAYFORMULA(FILTER(Gastos!F80:F127,Gastos!$G$24:$G$71=""Apartado A.1"")), 1, 1)"),"Paga extra diciembre")</f>
        <v>Paga extra diciembre</v>
      </c>
      <c r="C61" s="115" t="n">
        <f aca="false">IFERROR(__xludf.dummyfunction("ARRAY_CONSTRAIN(ARRAYFORMULA(FILTER(Gastos!H80:H127,Gastos!$G$24:$G$71=""Apartado A.1"")), 1, 1)"),1891.56)</f>
        <v>1891.56</v>
      </c>
      <c r="D61" s="116" t="n">
        <v>1</v>
      </c>
      <c r="E61" s="114" t="n">
        <v>35</v>
      </c>
      <c r="F61" s="117" t="n">
        <f aca="false">IF(A61="","",MIN(E61/(37.5),1))</f>
        <v>0.933333333333333</v>
      </c>
      <c r="G61" s="118" t="n">
        <v>0.5</v>
      </c>
      <c r="H61" s="116" t="s">
        <v>308</v>
      </c>
      <c r="I61" s="115" t="n">
        <f aca="false">IFERROR(__xludf.dummyfunction("ARRAY_CONSTRAIN(ARRAYFORMULA(FILTER(Gastos!M80:M127,Gastos!$G$24:$G$71=""Apartado A.1"")), 1, 1)"),472.89)</f>
        <v>472.89</v>
      </c>
      <c r="J61" s="119" t="e">
        <f aca="false" t="array" ref="J61:J61">IF(A61="","",ifs(AND(D61=1,H61="Pagas prorrateadas"),2705.41*(F61*G61),AND(D61=1,H61="Pagas no prorrateadas"),2318.93*(F61*G61),AND(D61=2,H61="Pagas prorrateadas"),2246.07*(F61*G61),AND(D61=2,H61="Pagas no prorrateadas"),1925.21*(F61*G61),AND(D61=3,H61="Pagas prorrateadas"),1775.44*(F61*G61),AND(D61=3,H61="Pagas no prorrateadas"),1521.81*(F61*G61),AND(D61=5,H61="Pagas prorrateadas"),1535.9*(F61*G61),AND(D61=5,H61="Pagas no prorrateadas"),1316.49*(F61*G61),AND(D61=7,H61="Pagas prorrateadas"),1493.61*(F61*G61),AND(D61=7,H61="Pagas no prorrateadas"),1280.24*(F61*G61)))</f>
        <v>#NAME?</v>
      </c>
      <c r="K61" s="115" t="s">
        <v>309</v>
      </c>
    </row>
    <row r="62" customFormat="false" ht="14.25" hidden="false" customHeight="true" outlineLevel="0" collapsed="false">
      <c r="A62" s="114" t="str">
        <f aca="false">IFERROR(__xludf.dummyfunction("ARRAY_CONSTRAIN(ARRAYFORMULA(FILTER(Gastos!D81:D128,Gastos!$G$24:$G$71=""Apartado A.1"")), 1, 1)"),"X5357493B")</f>
        <v>X5357493B</v>
      </c>
      <c r="B62" s="114" t="str">
        <f aca="false">IFERROR(__xludf.dummyfunction("ARRAY_CONSTRAIN(ARRAYFORMULA(FILTER(Gastos!F81:F128,Gastos!$G$24:$G$71=""Apartado A.1"")), 1, 1)"),"Nómina diciembre")</f>
        <v>Nómina diciembre</v>
      </c>
      <c r="C62" s="115" t="n">
        <f aca="false">IFERROR(__xludf.dummyfunction("ARRAY_CONSTRAIN(ARRAYFORMULA(FILTER(Gastos!H81:H128,Gastos!$G$24:$G$71=""Apartado A.1"")), 1, 1)"),1955.45)</f>
        <v>1955.45</v>
      </c>
      <c r="D62" s="116" t="n">
        <v>1</v>
      </c>
      <c r="E62" s="114" t="n">
        <v>35</v>
      </c>
      <c r="F62" s="117" t="n">
        <f aca="false">IF(A62="","",MIN(E62/(37.5),1))</f>
        <v>0.933333333333333</v>
      </c>
      <c r="G62" s="118" t="n">
        <v>0.5</v>
      </c>
      <c r="H62" s="116" t="s">
        <v>308</v>
      </c>
      <c r="I62" s="115" t="n">
        <f aca="false">IFERROR(__xludf.dummyfunction("ARRAY_CONSTRAIN(ARRAYFORMULA(FILTER(Gastos!M81:M128,Gastos!$G$24:$G$71=""Apartado A.1"")), 1, 1)"),488.865)</f>
        <v>488.865</v>
      </c>
      <c r="J62" s="119" t="e">
        <f aca="false" t="array" ref="J62:J62">IF(A62="","",ifs(AND(D62=1,H62="Pagas prorrateadas"),2705.41*(F62*G62),AND(D62=1,H62="Pagas no prorrateadas"),2318.93*(F62*G62),AND(D62=2,H62="Pagas prorrateadas"),2246.07*(F62*G62),AND(D62=2,H62="Pagas no prorrateadas"),1925.21*(F62*G62),AND(D62=3,H62="Pagas prorrateadas"),1775.44*(F62*G62),AND(D62=3,H62="Pagas no prorrateadas"),1521.81*(F62*G62),AND(D62=5,H62="Pagas prorrateadas"),1535.9*(F62*G62),AND(D62=5,H62="Pagas no prorrateadas"),1316.49*(F62*G62),AND(D62=7,H62="Pagas prorrateadas"),1493.61*(F62*G62),AND(D62=7,H62="Pagas no prorrateadas"),1280.24*(F62*G62)))</f>
        <v>#NAME?</v>
      </c>
      <c r="K62" s="115" t="s">
        <v>309</v>
      </c>
    </row>
    <row r="63" customFormat="false" ht="14.25" hidden="false" customHeight="true" outlineLevel="0" collapsed="false">
      <c r="A63" s="114" t="str">
        <f aca="false">IFERROR(__xludf.dummyfunction("ARRAY_CONSTRAIN(ARRAYFORMULA(FILTER(Gastos!D82:D129,Gastos!$G$24:$G$71=""Apartado A.1"")), 1, 1)"),"78913802C")</f>
        <v>78913802C</v>
      </c>
      <c r="B63" s="114" t="str">
        <f aca="false">IFERROR(__xludf.dummyfunction("ARRAY_CONSTRAIN(ARRAYFORMULA(FILTER(Gastos!F82:F129,Gastos!$G$24:$G$71=""Apartado A.1"")), 1, 1)"),"Nómina abril")</f>
        <v>Nómina abril</v>
      </c>
      <c r="C63" s="115" t="n">
        <f aca="false">IFERROR(__xludf.dummyfunction("ARRAY_CONSTRAIN(ARRAYFORMULA(FILTER(Gastos!H82:H129,Gastos!$G$24:$G$71=""Apartado A.1"")), 1, 1)"),271.75)</f>
        <v>271.75</v>
      </c>
      <c r="D63" s="116" t="n">
        <v>1</v>
      </c>
      <c r="E63" s="114" t="n">
        <v>35</v>
      </c>
      <c r="F63" s="117" t="n">
        <f aca="false">IF(A63="","",MIN(E63/(37.5),1))</f>
        <v>0.933333333333333</v>
      </c>
      <c r="G63" s="118" t="n">
        <v>0.5</v>
      </c>
      <c r="H63" s="116" t="s">
        <v>308</v>
      </c>
      <c r="I63" s="115" t="n">
        <f aca="false">IFERROR(__xludf.dummyfunction("ARRAY_CONSTRAIN(ARRAYFORMULA(FILTER(Gastos!M82:M129,Gastos!$G$24:$G$71=""Apartado A.1"")), 1, 1)"),67.94)</f>
        <v>67.94</v>
      </c>
      <c r="J63" s="119" t="e">
        <f aca="false" t="array" ref="J63:J63">IF(A63="","",ifs(AND(D63=1,H63="Pagas prorrateadas"),2705.41*(F63*G63),AND(D63=1,H63="Pagas no prorrateadas"),2318.93*(F63*G63),AND(D63=2,H63="Pagas prorrateadas"),2246.07*(F63*G63),AND(D63=2,H63="Pagas no prorrateadas"),1925.21*(F63*G63),AND(D63=3,H63="Pagas prorrateadas"),1775.44*(F63*G63),AND(D63=3,H63="Pagas no prorrateadas"),1521.81*(F63*G63),AND(D63=5,H63="Pagas prorrateadas"),1535.9*(F63*G63),AND(D63=5,H63="Pagas no prorrateadas"),1316.49*(F63*G63),AND(D63=7,H63="Pagas prorrateadas"),1493.61*(F63*G63),AND(D63=7,H63="Pagas no prorrateadas"),1280.24*(F63*G63)))</f>
        <v>#NAME?</v>
      </c>
      <c r="K63" s="115" t="s">
        <v>309</v>
      </c>
    </row>
    <row r="64" customFormat="false" ht="14.25" hidden="false" customHeight="true" outlineLevel="0" collapsed="false">
      <c r="A64" s="114" t="str">
        <f aca="false">IFERROR(__xludf.dummyfunction("ARRAY_CONSTRAIN(ARRAYFORMULA(FILTER(Gastos!D83:D130,Gastos!$G$24:$G$71=""Apartado A.1"")), 1, 1)"),"78913802C")</f>
        <v>78913802C</v>
      </c>
      <c r="B64" s="114" t="str">
        <f aca="false">IFERROR(__xludf.dummyfunction("ARRAY_CONSTRAIN(ARRAYFORMULA(FILTER(Gastos!F83:F130,Gastos!$G$24:$G$71=""Apartado A.1"")), 1, 1)"),"Nómina mayo")</f>
        <v>Nómina mayo</v>
      </c>
      <c r="C64" s="115" t="n">
        <f aca="false">IFERROR(__xludf.dummyfunction("ARRAY_CONSTRAIN(ARRAYFORMULA(FILTER(Gastos!H83:H130,Gastos!$G$24:$G$71=""Apartado A.1"")), 1, 1)"),845.65)</f>
        <v>845.65</v>
      </c>
      <c r="D64" s="116" t="n">
        <v>1</v>
      </c>
      <c r="E64" s="114" t="n">
        <v>35</v>
      </c>
      <c r="F64" s="117" t="n">
        <f aca="false">IF(A64="","",MIN(E64/(37.5),1))</f>
        <v>0.933333333333333</v>
      </c>
      <c r="G64" s="118" t="n">
        <v>0.5</v>
      </c>
      <c r="H64" s="116" t="s">
        <v>308</v>
      </c>
      <c r="I64" s="115" t="n">
        <f aca="false">IFERROR(__xludf.dummyfunction("ARRAY_CONSTRAIN(ARRAYFORMULA(FILTER(Gastos!M83:M130,Gastos!$G$24:$G$71=""Apartado A.1"")), 1, 1)"),211.415)</f>
        <v>211.415</v>
      </c>
      <c r="J64" s="119" t="e">
        <f aca="false" t="array" ref="J64:J64">IF(A64="","",ifs(AND(D64=1,H64="Pagas prorrateadas"),2705.41*(F64*G64),AND(D64=1,H64="Pagas no prorrateadas"),2318.93*(F64*G64),AND(D64=2,H64="Pagas prorrateadas"),2246.07*(F64*G64),AND(D64=2,H64="Pagas no prorrateadas"),1925.21*(F64*G64),AND(D64=3,H64="Pagas prorrateadas"),1775.44*(F64*G64),AND(D64=3,H64="Pagas no prorrateadas"),1521.81*(F64*G64),AND(D64=5,H64="Pagas prorrateadas"),1535.9*(F64*G64),AND(D64=5,H64="Pagas no prorrateadas"),1316.49*(F64*G64),AND(D64=7,H64="Pagas prorrateadas"),1493.61*(F64*G64),AND(D64=7,H64="Pagas no prorrateadas"),1280.24*(F64*G64)))</f>
        <v>#NAME?</v>
      </c>
      <c r="K64" s="115" t="s">
        <v>309</v>
      </c>
    </row>
    <row r="65" customFormat="false" ht="14.25" hidden="false" customHeight="true" outlineLevel="0" collapsed="false">
      <c r="A65" s="114" t="str">
        <f aca="false">IFERROR(__xludf.dummyfunction("ARRAY_CONSTRAIN(ARRAYFORMULA(FILTER(Gastos!D84:D131,Gastos!$G$24:$G$71=""Apartado A.1"")), 1, 1)"),"78913802C")</f>
        <v>78913802C</v>
      </c>
      <c r="B65" s="114" t="str">
        <f aca="false">IFERROR(__xludf.dummyfunction("ARRAY_CONSTRAIN(ARRAYFORMULA(FILTER(Gastos!F84:F131,Gastos!$G$24:$G$71=""Apartado A.1"")), 1, 1)"),"Extra junio")</f>
        <v>Extra junio</v>
      </c>
      <c r="C65" s="115" t="n">
        <f aca="false">IFERROR(__xludf.dummyfunction("ARRAY_CONSTRAIN(ARRAYFORMULA(FILTER(Gastos!H84:H131,Gastos!$G$24:$G$71=""Apartado A.1"")), 1, 1)"),317.04)</f>
        <v>317.04</v>
      </c>
      <c r="D65" s="116" t="n">
        <v>1</v>
      </c>
      <c r="E65" s="114" t="n">
        <v>35</v>
      </c>
      <c r="F65" s="117" t="n">
        <f aca="false">IF(A65="","",MIN(E65/(37.5),1))</f>
        <v>0.933333333333333</v>
      </c>
      <c r="G65" s="118" t="n">
        <v>0.5</v>
      </c>
      <c r="H65" s="116" t="s">
        <v>308</v>
      </c>
      <c r="I65" s="115" t="n">
        <f aca="false">IFERROR(__xludf.dummyfunction("ARRAY_CONSTRAIN(ARRAYFORMULA(FILTER(Gastos!M84:M131,Gastos!$G$24:$G$71=""Apartado A.1"")), 1, 1)"),79.26)</f>
        <v>79.26</v>
      </c>
      <c r="J65" s="119" t="e">
        <f aca="false" t="array" ref="J65:J65">IF(A65="","",ifs(AND(D65=1,H65="Pagas prorrateadas"),2705.41*(F65*G65),AND(D65=1,H65="Pagas no prorrateadas"),2318.93*(F65*G65),AND(D65=2,H65="Pagas prorrateadas"),2246.07*(F65*G65),AND(D65=2,H65="Pagas no prorrateadas"),1925.21*(F65*G65),AND(D65=3,H65="Pagas prorrateadas"),1775.44*(F65*G65),AND(D65=3,H65="Pagas no prorrateadas"),1521.81*(F65*G65),AND(D65=5,H65="Pagas prorrateadas"),1535.9*(F65*G65),AND(D65=5,H65="Pagas no prorrateadas"),1316.49*(F65*G65),AND(D65=7,H65="Pagas prorrateadas"),1493.61*(F65*G65),AND(D65=7,H65="Pagas no prorrateadas"),1280.24*(F65*G65)))</f>
        <v>#NAME?</v>
      </c>
      <c r="K65" s="115" t="s">
        <v>309</v>
      </c>
    </row>
    <row r="66" customFormat="false" ht="14.25" hidden="false" customHeight="true" outlineLevel="0" collapsed="false">
      <c r="A66" s="114" t="str">
        <f aca="false">IFERROR(__xludf.dummyfunction("ARRAY_CONSTRAIN(ARRAYFORMULA(FILTER(Gastos!D85:D132,Gastos!$G$24:$G$71=""Apartado A.1"")), 1, 1)"),"78913802C")</f>
        <v>78913802C</v>
      </c>
      <c r="B66" s="114" t="str">
        <f aca="false">IFERROR(__xludf.dummyfunction("ARRAY_CONSTRAIN(ARRAYFORMULA(FILTER(Gastos!F85:F132,Gastos!$G$24:$G$71=""Apartado A.1"")), 1, 1)"),"Nómina junio")</f>
        <v>Nómina junio</v>
      </c>
      <c r="C66" s="115" t="n">
        <f aca="false">IFERROR(__xludf.dummyfunction("ARRAY_CONSTRAIN(ARRAYFORMULA(FILTER(Gastos!H85:H132,Gastos!$G$24:$G$71=""Apartado A.1"")), 1, 1)"),838.1)</f>
        <v>838.1</v>
      </c>
      <c r="D66" s="116" t="n">
        <v>1</v>
      </c>
      <c r="E66" s="114" t="n">
        <v>35</v>
      </c>
      <c r="F66" s="117" t="n">
        <f aca="false">IF(A66="","",MIN(E66/(37.5),1))</f>
        <v>0.933333333333333</v>
      </c>
      <c r="G66" s="118" t="n">
        <v>0.5</v>
      </c>
      <c r="H66" s="116" t="s">
        <v>308</v>
      </c>
      <c r="I66" s="115" t="n">
        <f aca="false">IFERROR(__xludf.dummyfunction("ARRAY_CONSTRAIN(ARRAYFORMULA(FILTER(Gastos!M85:M132,Gastos!$G$24:$G$71=""Apartado A.1"")), 1, 1)"),209.525)</f>
        <v>209.525</v>
      </c>
      <c r="J66" s="119" t="e">
        <f aca="false" t="array" ref="J66:J66">IF(A66="","",ifs(AND(D66=1,H66="Pagas prorrateadas"),2705.41*(F66*G66),AND(D66=1,H66="Pagas no prorrateadas"),2318.93*(F66*G66),AND(D66=2,H66="Pagas prorrateadas"),2246.07*(F66*G66),AND(D66=2,H66="Pagas no prorrateadas"),1925.21*(F66*G66),AND(D66=3,H66="Pagas prorrateadas"),1775.44*(F66*G66),AND(D66=3,H66="Pagas no prorrateadas"),1521.81*(F66*G66),AND(D66=5,H66="Pagas prorrateadas"),1535.9*(F66*G66),AND(D66=5,H66="Pagas no prorrateadas"),1316.49*(F66*G66),AND(D66=7,H66="Pagas prorrateadas"),1493.61*(F66*G66),AND(D66=7,H66="Pagas no prorrateadas"),1280.24*(F66*G66)))</f>
        <v>#NAME?</v>
      </c>
      <c r="K66" s="115" t="s">
        <v>309</v>
      </c>
    </row>
    <row r="67" customFormat="false" ht="14.25" hidden="false" customHeight="true" outlineLevel="0" collapsed="false">
      <c r="A67" s="114" t="str">
        <f aca="false">IFERROR(__xludf.dummyfunction("ARRAY_CONSTRAIN(ARRAYFORMULA(FILTER(Gastos!D86:D133,Gastos!$G$24:$G$71=""Apartado A.1"")), 1, 1)"),"78913802C")</f>
        <v>78913802C</v>
      </c>
      <c r="B67" s="114" t="str">
        <f aca="false">IFERROR(__xludf.dummyfunction("ARRAY_CONSTRAIN(ARRAYFORMULA(FILTER(Gastos!F86:F133,Gastos!$G$24:$G$71=""Apartado A.1"")), 1, 1)"),"Nómina julio")</f>
        <v>Nómina julio</v>
      </c>
      <c r="C67" s="115" t="n">
        <f aca="false">IFERROR(__xludf.dummyfunction("ARRAY_CONSTRAIN(ARRAYFORMULA(FILTER(Gastos!H86:H133,Gastos!$G$24:$G$71=""Apartado A.1"")), 1, 1)"),838.1)</f>
        <v>838.1</v>
      </c>
      <c r="D67" s="116" t="n">
        <v>1</v>
      </c>
      <c r="E67" s="114" t="n">
        <v>35</v>
      </c>
      <c r="F67" s="117" t="n">
        <f aca="false">IF(A67="","",MIN(E67/(37.5),1))</f>
        <v>0.933333333333333</v>
      </c>
      <c r="G67" s="118" t="n">
        <v>0.5</v>
      </c>
      <c r="H67" s="116" t="s">
        <v>308</v>
      </c>
      <c r="I67" s="115" t="n">
        <f aca="false">IFERROR(__xludf.dummyfunction("ARRAY_CONSTRAIN(ARRAYFORMULA(FILTER(Gastos!M86:M133,Gastos!$G$24:$G$71=""Apartado A.1"")), 1, 1)"),209.525)</f>
        <v>209.525</v>
      </c>
      <c r="J67" s="119" t="e">
        <f aca="false" t="array" ref="J67:J67">IF(A67="","",ifs(AND(D67=1,H67="Pagas prorrateadas"),2705.41*(F67*G67),AND(D67=1,H67="Pagas no prorrateadas"),2318.93*(F67*G67),AND(D67=2,H67="Pagas prorrateadas"),2246.07*(F67*G67),AND(D67=2,H67="Pagas no prorrateadas"),1925.21*(F67*G67),AND(D67=3,H67="Pagas prorrateadas"),1775.44*(F67*G67),AND(D67=3,H67="Pagas no prorrateadas"),1521.81*(F67*G67),AND(D67=5,H67="Pagas prorrateadas"),1535.9*(F67*G67),AND(D67=5,H67="Pagas no prorrateadas"),1316.49*(F67*G67),AND(D67=7,H67="Pagas prorrateadas"),1493.61*(F67*G67),AND(D67=7,H67="Pagas no prorrateadas"),1280.24*(F67*G67)))</f>
        <v>#NAME?</v>
      </c>
      <c r="K67" s="115" t="s">
        <v>309</v>
      </c>
    </row>
    <row r="68" customFormat="false" ht="14.25" hidden="false" customHeight="true" outlineLevel="0" collapsed="false">
      <c r="A68" s="114" t="str">
        <f aca="false">IFERROR(__xludf.dummyfunction("ARRAY_CONSTRAIN(ARRAYFORMULA(FILTER(Gastos!D87:D134,Gastos!$G$24:$G$71=""Apartado A.1"")), 1, 1)"),"78913802C")</f>
        <v>78913802C</v>
      </c>
      <c r="B68" s="114" t="str">
        <f aca="false">IFERROR(__xludf.dummyfunction("ARRAY_CONSTRAIN(ARRAYFORMULA(FILTER(Gastos!F87:F134,Gastos!$G$24:$G$71=""Apartado A.1"")), 1, 1)"),"Nómina agosto")</f>
        <v>Nómina agosto</v>
      </c>
      <c r="C68" s="115" t="n">
        <f aca="false">IFERROR(__xludf.dummyfunction("ARRAY_CONSTRAIN(ARRAYFORMULA(FILTER(Gastos!H87:H134,Gastos!$G$24:$G$71=""Apartado A.1"")), 1, 1)"),838.1)</f>
        <v>838.1</v>
      </c>
      <c r="D68" s="116" t="n">
        <v>1</v>
      </c>
      <c r="E68" s="114" t="n">
        <v>35</v>
      </c>
      <c r="F68" s="117" t="n">
        <f aca="false">IF(A68="","",MIN(E68/(37.5),1))</f>
        <v>0.933333333333333</v>
      </c>
      <c r="G68" s="118" t="n">
        <v>0.5</v>
      </c>
      <c r="H68" s="116" t="s">
        <v>308</v>
      </c>
      <c r="I68" s="115" t="n">
        <f aca="false">IFERROR(__xludf.dummyfunction("ARRAY_CONSTRAIN(ARRAYFORMULA(FILTER(Gastos!M87:M134,Gastos!$G$24:$G$71=""Apartado A.1"")), 1, 1)"),209.525)</f>
        <v>209.525</v>
      </c>
      <c r="J68" s="119" t="e">
        <f aca="false" t="array" ref="J68:J68">IF(A68="","",ifs(AND(D68=1,H68="Pagas prorrateadas"),2705.41*(F68*G68),AND(D68=1,H68="Pagas no prorrateadas"),2318.93*(F68*G68),AND(D68=2,H68="Pagas prorrateadas"),2246.07*(F68*G68),AND(D68=2,H68="Pagas no prorrateadas"),1925.21*(F68*G68),AND(D68=3,H68="Pagas prorrateadas"),1775.44*(F68*G68),AND(D68=3,H68="Pagas no prorrateadas"),1521.81*(F68*G68),AND(D68=5,H68="Pagas prorrateadas"),1535.9*(F68*G68),AND(D68=5,H68="Pagas no prorrateadas"),1316.49*(F68*G68),AND(D68=7,H68="Pagas prorrateadas"),1493.61*(F68*G68),AND(D68=7,H68="Pagas no prorrateadas"),1280.24*(F68*G68)))</f>
        <v>#NAME?</v>
      </c>
      <c r="K68" s="115" t="s">
        <v>309</v>
      </c>
    </row>
    <row r="69" customFormat="false" ht="14.25" hidden="false" customHeight="true" outlineLevel="0" collapsed="false">
      <c r="A69" s="114" t="str">
        <f aca="false">IFERROR(__xludf.dummyfunction("ARRAY_CONSTRAIN(ARRAYFORMULA(FILTER(Gastos!D88:D135,Gastos!$G$24:$G$71=""Apartado A.1"")), 1, 1)"),"78913802C")</f>
        <v>78913802C</v>
      </c>
      <c r="B69" s="114" t="str">
        <f aca="false">IFERROR(__xludf.dummyfunction("ARRAY_CONSTRAIN(ARRAYFORMULA(FILTER(Gastos!F88:F135,Gastos!$G$24:$G$71=""Apartado A.1"")), 1, 1)"),"Nómina septiembre")</f>
        <v>Nómina septiembre</v>
      </c>
      <c r="C69" s="115" t="n">
        <f aca="false">IFERROR(__xludf.dummyfunction("ARRAY_CONSTRAIN(ARRAYFORMULA(FILTER(Gastos!H88:H135,Gastos!$G$24:$G$71=""Apartado A.1"")), 1, 1)"),838.1)</f>
        <v>838.1</v>
      </c>
      <c r="D69" s="116" t="n">
        <v>1</v>
      </c>
      <c r="E69" s="114" t="n">
        <v>35</v>
      </c>
      <c r="F69" s="117" t="n">
        <f aca="false">IF(A69="","",MIN(E69/(37.5),1))</f>
        <v>0.933333333333333</v>
      </c>
      <c r="G69" s="118" t="n">
        <v>0.5</v>
      </c>
      <c r="H69" s="116" t="s">
        <v>308</v>
      </c>
      <c r="I69" s="115" t="n">
        <f aca="false">IFERROR(__xludf.dummyfunction("ARRAY_CONSTRAIN(ARRAYFORMULA(FILTER(Gastos!M88:M135,Gastos!$G$24:$G$71=""Apartado A.1"")), 1, 1)"),209.525)</f>
        <v>209.525</v>
      </c>
      <c r="J69" s="119" t="e">
        <f aca="false" t="array" ref="J69:J69">IF(A69="","",ifs(AND(D69=1,H69="Pagas prorrateadas"),2705.41*(F69*G69),AND(D69=1,H69="Pagas no prorrateadas"),2318.93*(F69*G69),AND(D69=2,H69="Pagas prorrateadas"),2246.07*(F69*G69),AND(D69=2,H69="Pagas no prorrateadas"),1925.21*(F69*G69),AND(D69=3,H69="Pagas prorrateadas"),1775.44*(F69*G69),AND(D69=3,H69="Pagas no prorrateadas"),1521.81*(F69*G69),AND(D69=5,H69="Pagas prorrateadas"),1535.9*(F69*G69),AND(D69=5,H69="Pagas no prorrateadas"),1316.49*(F69*G69),AND(D69=7,H69="Pagas prorrateadas"),1493.61*(F69*G69),AND(D69=7,H69="Pagas no prorrateadas"),1280.24*(F69*G69)))</f>
        <v>#NAME?</v>
      </c>
      <c r="K69" s="115" t="s">
        <v>309</v>
      </c>
    </row>
    <row r="70" customFormat="false" ht="14.25" hidden="false" customHeight="true" outlineLevel="0" collapsed="false">
      <c r="A70" s="114" t="str">
        <f aca="false">IFERROR(__xludf.dummyfunction("ARRAY_CONSTRAIN(ARRAYFORMULA(FILTER(Gastos!D89:D136,Gastos!$G$24:$G$71=""Apartado A.1"")), 1, 1)"),"78913802C")</f>
        <v>78913802C</v>
      </c>
      <c r="B70" s="114" t="str">
        <f aca="false">IFERROR(__xludf.dummyfunction("ARRAY_CONSTRAIN(ARRAYFORMULA(FILTER(Gastos!F89:F136,Gastos!$G$24:$G$71=""Apartado A.1"")), 1, 1)"),"Nómina octubre")</f>
        <v>Nómina octubre</v>
      </c>
      <c r="C70" s="115" t="n">
        <f aca="false">IFERROR(__xludf.dummyfunction("ARRAY_CONSTRAIN(ARRAYFORMULA(FILTER(Gastos!H89:H136,Gastos!$G$24:$G$71=""Apartado A.1"")), 1, 1)"),810.17)</f>
        <v>810.17</v>
      </c>
      <c r="D70" s="116" t="n">
        <v>1</v>
      </c>
      <c r="E70" s="114" t="n">
        <v>35</v>
      </c>
      <c r="F70" s="117" t="n">
        <f aca="false">IF(A70="","",MIN(E70/(37.5),1))</f>
        <v>0.933333333333333</v>
      </c>
      <c r="G70" s="118" t="n">
        <v>0.5</v>
      </c>
      <c r="H70" s="116" t="s">
        <v>308</v>
      </c>
      <c r="I70" s="115" t="n">
        <f aca="false">IFERROR(__xludf.dummyfunction("ARRAY_CONSTRAIN(ARRAYFORMULA(FILTER(Gastos!M89:M136,Gastos!$G$24:$G$71=""Apartado A.1"")), 1, 1)"),202.545)</f>
        <v>202.545</v>
      </c>
      <c r="J70" s="119" t="e">
        <f aca="false" t="array" ref="J70:J70">IF(A70="","",ifs(AND(D70=1,H70="Pagas prorrateadas"),2705.41*(F70*G70),AND(D70=1,H70="Pagas no prorrateadas"),2318.93*(F70*G70),AND(D70=2,H70="Pagas prorrateadas"),2246.07*(F70*G70),AND(D70=2,H70="Pagas no prorrateadas"),1925.21*(F70*G70),AND(D70=3,H70="Pagas prorrateadas"),1775.44*(F70*G70),AND(D70=3,H70="Pagas no prorrateadas"),1521.81*(F70*G70),AND(D70=5,H70="Pagas prorrateadas"),1535.9*(F70*G70),AND(D70=5,H70="Pagas no prorrateadas"),1316.49*(F70*G70),AND(D70=7,H70="Pagas prorrateadas"),1493.61*(F70*G70),AND(D70=7,H70="Pagas no prorrateadas"),1280.24*(F70*G70)))</f>
        <v>#NAME?</v>
      </c>
      <c r="K70" s="115" t="s">
        <v>309</v>
      </c>
    </row>
    <row r="71" customFormat="false" ht="14.25" hidden="false" customHeight="true" outlineLevel="0" collapsed="false">
      <c r="A71" s="114" t="str">
        <f aca="false">IFERROR(__xludf.dummyfunction("ARRAY_CONSTRAIN(ARRAYFORMULA(FILTER(Gastos!D90:D137,Gastos!$G$24:$G$71=""Apartado A.1"")), 1, 1)"),"78913802C")</f>
        <v>78913802C</v>
      </c>
      <c r="B71" s="114" t="str">
        <f aca="false">IFERROR(__xludf.dummyfunction("ARRAY_CONSTRAIN(ARRAYFORMULA(FILTER(Gastos!F90:F137,Gastos!$G$24:$G$71=""Apartado A.1"")), 1, 1)"),"Nómina noviembre")</f>
        <v>Nómina noviembre</v>
      </c>
      <c r="C71" s="115" t="n">
        <f aca="false">IFERROR(__xludf.dummyfunction("ARRAY_CONSTRAIN(ARRAYFORMULA(FILTER(Gastos!H90:H137,Gastos!$G$24:$G$71=""Apartado A.1"")), 1, 1)"),838.1)</f>
        <v>838.1</v>
      </c>
      <c r="D71" s="116" t="n">
        <v>1</v>
      </c>
      <c r="E71" s="114" t="n">
        <v>35</v>
      </c>
      <c r="F71" s="117" t="n">
        <f aca="false">IF(A71="","",MIN(E71/(37.5),1))</f>
        <v>0.933333333333333</v>
      </c>
      <c r="G71" s="118" t="n">
        <v>0.5</v>
      </c>
      <c r="H71" s="116" t="s">
        <v>308</v>
      </c>
      <c r="I71" s="115" t="n">
        <f aca="false">IFERROR(__xludf.dummyfunction("ARRAY_CONSTRAIN(ARRAYFORMULA(FILTER(Gastos!M90:M137,Gastos!$G$24:$G$71=""Apartado A.1"")), 1, 1)"),209.525)</f>
        <v>209.525</v>
      </c>
      <c r="J71" s="119" t="e">
        <f aca="false" t="array" ref="J71:J71">IF(A71="","",ifs(AND(D71=1,H71="Pagas prorrateadas"),2705.41*(F71*G71),AND(D71=1,H71="Pagas no prorrateadas"),2318.93*(F71*G71),AND(D71=2,H71="Pagas prorrateadas"),2246.07*(F71*G71),AND(D71=2,H71="Pagas no prorrateadas"),1925.21*(F71*G71),AND(D71=3,H71="Pagas prorrateadas"),1775.44*(F71*G71),AND(D71=3,H71="Pagas no prorrateadas"),1521.81*(F71*G71),AND(D71=5,H71="Pagas prorrateadas"),1535.9*(F71*G71),AND(D71=5,H71="Pagas no prorrateadas"),1316.49*(F71*G71),AND(D71=7,H71="Pagas prorrateadas"),1493.61*(F71*G71),AND(D71=7,H71="Pagas no prorrateadas"),1280.24*(F71*G71)))</f>
        <v>#NAME?</v>
      </c>
      <c r="K71" s="115" t="s">
        <v>309</v>
      </c>
    </row>
    <row r="72" customFormat="false" ht="14.25" hidden="false" customHeight="true" outlineLevel="0" collapsed="false">
      <c r="A72" s="114" t="str">
        <f aca="false">IFERROR(__xludf.dummyfunction("ARRAY_CONSTRAIN(ARRAYFORMULA(FILTER(Gastos!D91:D138,Gastos!$G$24:$G$71=""Apartado A.1"")), 1, 1)"),"78913802C")</f>
        <v>78913802C</v>
      </c>
      <c r="B72" s="114" t="str">
        <f aca="false">IFERROR(__xludf.dummyfunction("ARRAY_CONSTRAIN(ARRAYFORMULA(FILTER(Gastos!F91:F138,Gastos!$G$24:$G$71=""Apartado A.1"")), 1, 1)"),"Paga extra diciembre")</f>
        <v>Paga extra diciembre</v>
      </c>
      <c r="C72" s="115" t="n">
        <f aca="false">IFERROR(__xludf.dummyfunction("ARRAY_CONSTRAIN(ARRAYFORMULA(FILTER(Gastos!H91:H138,Gastos!$G$24:$G$71=""Apartado A.1"")), 1, 1)"),810.72)</f>
        <v>810.72</v>
      </c>
      <c r="D72" s="116" t="n">
        <v>1</v>
      </c>
      <c r="E72" s="114" t="n">
        <v>35</v>
      </c>
      <c r="F72" s="117" t="n">
        <f aca="false">IF(A72="","",MIN(E72/(37.5),1))</f>
        <v>0.933333333333333</v>
      </c>
      <c r="G72" s="118" t="n">
        <v>0.5</v>
      </c>
      <c r="H72" s="116" t="s">
        <v>308</v>
      </c>
      <c r="I72" s="115" t="n">
        <f aca="false">IFERROR(__xludf.dummyfunction("ARRAY_CONSTRAIN(ARRAYFORMULA(FILTER(Gastos!M91:M138,Gastos!$G$24:$G$71=""Apartado A.1"")), 1, 1)"),202.68)</f>
        <v>202.68</v>
      </c>
      <c r="J72" s="119" t="e">
        <f aca="false" t="array" ref="J72:J72">IF(A72="","",ifs(AND(D72=1,H72="Pagas prorrateadas"),2705.41*(F72*G72),AND(D72=1,H72="Pagas no prorrateadas"),2318.93*(F72*G72),AND(D72=2,H72="Pagas prorrateadas"),2246.07*(F72*G72),AND(D72=2,H72="Pagas no prorrateadas"),1925.21*(F72*G72),AND(D72=3,H72="Pagas prorrateadas"),1775.44*(F72*G72),AND(D72=3,H72="Pagas no prorrateadas"),1521.81*(F72*G72),AND(D72=5,H72="Pagas prorrateadas"),1535.9*(F72*G72),AND(D72=5,H72="Pagas no prorrateadas"),1316.49*(F72*G72),AND(D72=7,H72="Pagas prorrateadas"),1493.61*(F72*G72),AND(D72=7,H72="Pagas no prorrateadas"),1280.24*(F72*G72)))</f>
        <v>#NAME?</v>
      </c>
      <c r="K72" s="115" t="s">
        <v>309</v>
      </c>
    </row>
    <row r="73" customFormat="false" ht="14.25" hidden="false" customHeight="true" outlineLevel="0" collapsed="false">
      <c r="A73" s="114" t="str">
        <f aca="false">IFERROR(__xludf.dummyfunction("ARRAY_CONSTRAIN(ARRAYFORMULA(FILTER(Gastos!D92:D139,Gastos!$G$24:$G$71=""Apartado A.1"")), 1, 1)"),"78913802C")</f>
        <v>78913802C</v>
      </c>
      <c r="B73" s="114" t="str">
        <f aca="false">IFERROR(__xludf.dummyfunction("ARRAY_CONSTRAIN(ARRAYFORMULA(FILTER(Gastos!F92:F139,Gastos!$G$24:$G$71=""Apartado A.1"")), 1, 1)"),"Nómina diciembre")</f>
        <v>Nómina diciembre</v>
      </c>
      <c r="C73" s="115" t="n">
        <f aca="false">IFERROR(__xludf.dummyfunction("ARRAY_CONSTRAIN(ARRAYFORMULA(FILTER(Gastos!H92:H139,Gastos!$G$24:$G$71=""Apartado A.1"")), 1, 1)"),838.1)</f>
        <v>838.1</v>
      </c>
      <c r="D73" s="116" t="n">
        <v>1</v>
      </c>
      <c r="E73" s="114" t="n">
        <v>35</v>
      </c>
      <c r="F73" s="117" t="n">
        <f aca="false">IF(A73="","",MIN(E73/(37.5),1))</f>
        <v>0.933333333333333</v>
      </c>
      <c r="G73" s="118" t="n">
        <v>0.5</v>
      </c>
      <c r="H73" s="116" t="s">
        <v>308</v>
      </c>
      <c r="I73" s="115" t="n">
        <f aca="false">IFERROR(__xludf.dummyfunction("ARRAY_CONSTRAIN(ARRAYFORMULA(FILTER(Gastos!M92:M139,Gastos!$G$24:$G$71=""Apartado A.1"")), 1, 1)"),209.525)</f>
        <v>209.525</v>
      </c>
      <c r="J73" s="119" t="e">
        <f aca="false" t="array" ref="J73:J73">IF(A73="","",ifs(AND(D73=1,H73="Pagas prorrateadas"),2705.41*(F73*G73),AND(D73=1,H73="Pagas no prorrateadas"),2318.93*(F73*G73),AND(D73=2,H73="Pagas prorrateadas"),2246.07*(F73*G73),AND(D73=2,H73="Pagas no prorrateadas"),1925.21*(F73*G73),AND(D73=3,H73="Pagas prorrateadas"),1775.44*(F73*G73),AND(D73=3,H73="Pagas no prorrateadas"),1521.81*(F73*G73),AND(D73=5,H73="Pagas prorrateadas"),1535.9*(F73*G73),AND(D73=5,H73="Pagas no prorrateadas"),1316.49*(F73*G73),AND(D73=7,H73="Pagas prorrateadas"),1493.61*(F73*G73),AND(D73=7,H73="Pagas no prorrateadas"),1280.24*(F73*G73)))</f>
        <v>#NAME?</v>
      </c>
      <c r="K73" s="115" t="s">
        <v>309</v>
      </c>
    </row>
    <row r="74" customFormat="false" ht="14.25" hidden="false" customHeight="true" outlineLevel="0" collapsed="false">
      <c r="A74" s="114" t="str">
        <f aca="false">IFERROR(__xludf.dummyfunction("ARRAY_CONSTRAIN(ARRAYFORMULA(FILTER(Gastos!D93:D140,Gastos!$G$24:$G$71=""Apartado A.1"")), 1, 1)"),"15842356W")</f>
        <v>15842356W</v>
      </c>
      <c r="B74" s="114" t="str">
        <f aca="false">IFERROR(__xludf.dummyfunction("ARRAY_CONSTRAIN(ARRAYFORMULA(FILTER(Gastos!F93:F140,Gastos!$G$24:$G$71=""Apartado A.1"")), 1, 1)"),"Nómina enero")</f>
        <v>Nómina enero</v>
      </c>
      <c r="C74" s="115" t="n">
        <f aca="false">IFERROR(__xludf.dummyfunction("ARRAY_CONSTRAIN(ARRAYFORMULA(FILTER(Gastos!H93:H140,Gastos!$G$24:$G$71=""Apartado A.1"")), 1, 1)"),475.53)</f>
        <v>475.53</v>
      </c>
      <c r="D74" s="116" t="n">
        <v>1</v>
      </c>
      <c r="E74" s="114" t="n">
        <v>35</v>
      </c>
      <c r="F74" s="117" t="n">
        <f aca="false">IF(A74="","",MIN(E74/(37.5),1))</f>
        <v>0.933333333333333</v>
      </c>
      <c r="G74" s="118" t="n">
        <v>1</v>
      </c>
      <c r="H74" s="116" t="s">
        <v>308</v>
      </c>
      <c r="I74" s="115" t="n">
        <f aca="false">IFERROR(__xludf.dummyfunction("ARRAY_CONSTRAIN(ARRAYFORMULA(FILTER(Gastos!M93:M140,Gastos!$G$24:$G$71=""Apartado A.1"")), 1, 1)"),237.765)</f>
        <v>237.765</v>
      </c>
      <c r="J74" s="119" t="e">
        <f aca="false" t="array" ref="J74:J74">IF(A74="","",ifs(AND(D74=1,H74="Pagas prorrateadas"),2705.41*(F74*G74),AND(D74=1,H74="Pagas no prorrateadas"),2318.93*(F74*G74),AND(D74=2,H74="Pagas prorrateadas"),2246.07*(F74*G74),AND(D74=2,H74="Pagas no prorrateadas"),1925.21*(F74*G74),AND(D74=3,H74="Pagas prorrateadas"),1775.44*(F74*G74),AND(D74=3,H74="Pagas no prorrateadas"),1521.81*(F74*G74),AND(D74=5,H74="Pagas prorrateadas"),1535.9*(F74*G74),AND(D74=5,H74="Pagas no prorrateadas"),1316.49*(F74*G74),AND(D74=7,H74="Pagas prorrateadas"),1493.61*(F74*G74),AND(D74=7,H74="Pagas no prorrateadas"),1280.24*(F74*G74)))</f>
        <v>#NAME?</v>
      </c>
      <c r="K74" s="115" t="s">
        <v>309</v>
      </c>
    </row>
    <row r="75" customFormat="false" ht="14.25" hidden="false" customHeight="true" outlineLevel="0" collapsed="false">
      <c r="A75" s="114" t="str">
        <f aca="false">IFERROR(__xludf.dummyfunction("ARRAY_CONSTRAIN(ARRAYFORMULA(FILTER(Gastos!D94:D141,Gastos!$G$24:$G$71=""Apartado A.1"")), 1, 1)"),"15842356W")</f>
        <v>15842356W</v>
      </c>
      <c r="B75" s="114" t="str">
        <f aca="false">IFERROR(__xludf.dummyfunction("ARRAY_CONSTRAIN(ARRAYFORMULA(FILTER(Gastos!F94:F141,Gastos!$G$24:$G$71=""Apartado A.1"")), 1, 1)"),"Nómina febrero")</f>
        <v>Nómina febrero</v>
      </c>
      <c r="C75" s="115" t="n">
        <f aca="false">IFERROR(__xludf.dummyfunction("ARRAY_CONSTRAIN(ARRAYFORMULA(FILTER(Gastos!H94:H141,Gastos!$G$24:$G$71=""Apartado A.1"")), 1, 1)"),475.53)</f>
        <v>475.53</v>
      </c>
      <c r="D75" s="116" t="n">
        <v>1</v>
      </c>
      <c r="E75" s="114" t="n">
        <v>35</v>
      </c>
      <c r="F75" s="117" t="n">
        <f aca="false">IF(A75="","",MIN(E75/(37.5),1))</f>
        <v>0.933333333333333</v>
      </c>
      <c r="G75" s="118" t="n">
        <v>1</v>
      </c>
      <c r="H75" s="116" t="s">
        <v>308</v>
      </c>
      <c r="I75" s="115" t="n">
        <f aca="false">IFERROR(__xludf.dummyfunction("ARRAY_CONSTRAIN(ARRAYFORMULA(FILTER(Gastos!M94:M141,Gastos!$G$24:$G$71=""Apartado A.1"")), 1, 1)"),237.765)</f>
        <v>237.765</v>
      </c>
      <c r="J75" s="119" t="e">
        <f aca="false" t="array" ref="J75:J75">IF(A75="","",ifs(AND(D75=1,H75="Pagas prorrateadas"),2705.41*(F75*G75),AND(D75=1,H75="Pagas no prorrateadas"),2318.93*(F75*G75),AND(D75=2,H75="Pagas prorrateadas"),2246.07*(F75*G75),AND(D75=2,H75="Pagas no prorrateadas"),1925.21*(F75*G75),AND(D75=3,H75="Pagas prorrateadas"),1775.44*(F75*G75),AND(D75=3,H75="Pagas no prorrateadas"),1521.81*(F75*G75),AND(D75=5,H75="Pagas prorrateadas"),1535.9*(F75*G75),AND(D75=5,H75="Pagas no prorrateadas"),1316.49*(F75*G75),AND(D75=7,H75="Pagas prorrateadas"),1493.61*(F75*G75),AND(D75=7,H75="Pagas no prorrateadas"),1280.24*(F75*G75)))</f>
        <v>#NAME?</v>
      </c>
      <c r="K75" s="115" t="s">
        <v>309</v>
      </c>
    </row>
    <row r="76" customFormat="false" ht="14.25" hidden="false" customHeight="true" outlineLevel="0" collapsed="false">
      <c r="A76" s="114" t="str">
        <f aca="false">IFERROR(__xludf.dummyfunction("ARRAY_CONSTRAIN(ARRAYFORMULA(FILTER(Gastos!D95:D142,Gastos!$G$24:$G$71=""Apartado A.1"")), 1, 1)"),"15842356W")</f>
        <v>15842356W</v>
      </c>
      <c r="B76" s="114" t="str">
        <f aca="false">IFERROR(__xludf.dummyfunction("ARRAY_CONSTRAIN(ARRAYFORMULA(FILTER(Gastos!F95:F142,Gastos!$G$24:$G$71=""Apartado A.1"")), 1, 1)"),"Nómina marzo")</f>
        <v>Nómina marzo</v>
      </c>
      <c r="C76" s="115" t="n">
        <f aca="false">IFERROR(__xludf.dummyfunction("ARRAY_CONSTRAIN(ARRAYFORMULA(FILTER(Gastos!H95:H142,Gastos!$G$24:$G$71=""Apartado A.1"")), 1, 1)"),475.53)</f>
        <v>475.53</v>
      </c>
      <c r="D76" s="116" t="n">
        <v>1</v>
      </c>
      <c r="E76" s="114" t="n">
        <v>35</v>
      </c>
      <c r="F76" s="117" t="n">
        <f aca="false">IF(A76="","",MIN(E76/(37.5),1))</f>
        <v>0.933333333333333</v>
      </c>
      <c r="G76" s="120" t="n">
        <v>1</v>
      </c>
      <c r="H76" s="116" t="s">
        <v>308</v>
      </c>
      <c r="I76" s="115" t="n">
        <f aca="false">IFERROR(__xludf.dummyfunction("ARRAY_CONSTRAIN(ARRAYFORMULA(FILTER(Gastos!M95:M142,Gastos!$G$24:$G$71=""Apartado A.1"")), 1, 1)"),237.765)</f>
        <v>237.765</v>
      </c>
      <c r="J76" s="119" t="e">
        <f aca="false" t="array" ref="J76:J76">IF(A76="","",ifs(AND(D76=1,H76="Pagas prorrateadas"),2705.41*(F76*G76),AND(D76=1,H76="Pagas no prorrateadas"),2318.93*(F76*G76),AND(D76=2,H76="Pagas prorrateadas"),2246.07*(F76*G76),AND(D76=2,H76="Pagas no prorrateadas"),1925.21*(F76*G76),AND(D76=3,H76="Pagas prorrateadas"),1775.44*(F76*G76),AND(D76=3,H76="Pagas no prorrateadas"),1521.81*(F76*G76),AND(D76=5,H76="Pagas prorrateadas"),1535.9*(F76*G76),AND(D76=5,H76="Pagas no prorrateadas"),1316.49*(F76*G76),AND(D76=7,H76="Pagas prorrateadas"),1493.61*(F76*G76),AND(D76=7,H76="Pagas no prorrateadas"),1280.24*(F76*G76)))</f>
        <v>#NAME?</v>
      </c>
      <c r="K76" s="115" t="s">
        <v>309</v>
      </c>
    </row>
    <row r="77" customFormat="false" ht="14.25" hidden="false" customHeight="true" outlineLevel="0" collapsed="false">
      <c r="A77" s="114"/>
      <c r="B77" s="114"/>
      <c r="C77" s="115"/>
      <c r="D77" s="116"/>
      <c r="E77" s="114"/>
      <c r="F77" s="117"/>
      <c r="G77" s="118"/>
      <c r="H77" s="116"/>
      <c r="I77" s="115"/>
      <c r="J77" s="115"/>
      <c r="K77" s="115"/>
    </row>
    <row r="78" customFormat="false" ht="14.25" hidden="false" customHeight="true" outlineLevel="0" collapsed="false">
      <c r="A78" s="121"/>
      <c r="B78" s="121"/>
      <c r="C78" s="122"/>
      <c r="D78" s="121"/>
      <c r="E78" s="121"/>
      <c r="F78" s="123"/>
      <c r="G78" s="124"/>
      <c r="H78" s="121"/>
      <c r="I78" s="122"/>
      <c r="J78" s="122"/>
      <c r="K78" s="122"/>
    </row>
    <row r="79" customFormat="false" ht="14.25" hidden="false" customHeight="true" outlineLevel="0" collapsed="false">
      <c r="A79" s="106"/>
      <c r="B79" s="106"/>
      <c r="C79" s="125"/>
      <c r="D79" s="106"/>
      <c r="E79" s="106"/>
      <c r="F79" s="126"/>
      <c r="G79" s="127"/>
      <c r="H79" s="106"/>
      <c r="I79" s="125"/>
      <c r="J79" s="125"/>
      <c r="K79" s="125"/>
    </row>
    <row r="80" customFormat="false" ht="14.25" hidden="false" customHeight="true" outlineLevel="0" collapsed="false">
      <c r="A80" s="106"/>
      <c r="B80" s="106"/>
      <c r="C80" s="125"/>
      <c r="D80" s="106"/>
      <c r="E80" s="106"/>
      <c r="F80" s="126"/>
      <c r="G80" s="127"/>
      <c r="H80" s="106"/>
      <c r="I80" s="125"/>
      <c r="J80" s="125"/>
      <c r="K80" s="125"/>
    </row>
    <row r="81" customFormat="false" ht="14.25" hidden="false" customHeight="true" outlineLevel="0" collapsed="false">
      <c r="A81" s="106"/>
      <c r="B81" s="106"/>
      <c r="C81" s="125"/>
      <c r="D81" s="106"/>
      <c r="E81" s="106"/>
      <c r="F81" s="126"/>
      <c r="G81" s="127"/>
      <c r="H81" s="106"/>
      <c r="I81" s="125"/>
      <c r="J81" s="125"/>
      <c r="K81" s="125"/>
    </row>
    <row r="82" customFormat="false" ht="14.25" hidden="false" customHeight="true" outlineLevel="0" collapsed="false">
      <c r="A82" s="106"/>
      <c r="B82" s="106"/>
      <c r="C82" s="125"/>
      <c r="D82" s="106"/>
      <c r="E82" s="106"/>
      <c r="F82" s="126"/>
      <c r="G82" s="127"/>
      <c r="H82" s="106"/>
      <c r="I82" s="125"/>
      <c r="J82" s="125"/>
      <c r="K82" s="125"/>
    </row>
    <row r="83" customFormat="false" ht="14.25" hidden="false" customHeight="true" outlineLevel="0" collapsed="false">
      <c r="A83" s="106"/>
      <c r="B83" s="106"/>
      <c r="C83" s="125"/>
      <c r="D83" s="106"/>
      <c r="E83" s="106"/>
      <c r="F83" s="126"/>
      <c r="G83" s="127"/>
      <c r="H83" s="106"/>
      <c r="I83" s="125"/>
      <c r="J83" s="125"/>
      <c r="K83" s="125"/>
    </row>
    <row r="84" customFormat="false" ht="14.25" hidden="false" customHeight="true" outlineLevel="0" collapsed="false">
      <c r="A84" s="106"/>
      <c r="B84" s="106"/>
      <c r="C84" s="125"/>
      <c r="D84" s="106"/>
      <c r="E84" s="106"/>
      <c r="F84" s="126"/>
      <c r="G84" s="127"/>
      <c r="H84" s="106"/>
      <c r="I84" s="125"/>
      <c r="J84" s="125"/>
      <c r="K84" s="125"/>
    </row>
    <row r="85" customFormat="false" ht="14.25" hidden="false" customHeight="true" outlineLevel="0" collapsed="false">
      <c r="A85" s="106"/>
      <c r="B85" s="106"/>
      <c r="C85" s="125"/>
      <c r="D85" s="106"/>
      <c r="E85" s="106"/>
      <c r="F85" s="126"/>
      <c r="G85" s="127"/>
      <c r="H85" s="106"/>
      <c r="I85" s="125"/>
      <c r="J85" s="125"/>
      <c r="K85" s="125"/>
    </row>
    <row r="86" customFormat="false" ht="14.25" hidden="false" customHeight="true" outlineLevel="0" collapsed="false">
      <c r="A86" s="106"/>
      <c r="B86" s="106"/>
      <c r="C86" s="125"/>
      <c r="D86" s="106"/>
      <c r="E86" s="106"/>
      <c r="F86" s="126"/>
      <c r="G86" s="127"/>
      <c r="H86" s="106"/>
      <c r="I86" s="125"/>
      <c r="J86" s="125"/>
      <c r="K86" s="125"/>
    </row>
    <row r="87" customFormat="false" ht="14.25" hidden="false" customHeight="true" outlineLevel="0" collapsed="false">
      <c r="A87" s="106"/>
      <c r="B87" s="106"/>
      <c r="C87" s="125"/>
      <c r="D87" s="106"/>
      <c r="E87" s="106"/>
      <c r="F87" s="126"/>
      <c r="G87" s="127"/>
      <c r="H87" s="106"/>
      <c r="I87" s="125"/>
      <c r="J87" s="125"/>
      <c r="K87" s="125"/>
    </row>
    <row r="88" customFormat="false" ht="14.25" hidden="false" customHeight="true" outlineLevel="0" collapsed="false">
      <c r="A88" s="106"/>
      <c r="B88" s="106"/>
      <c r="C88" s="125"/>
      <c r="D88" s="106"/>
      <c r="E88" s="106"/>
      <c r="F88" s="126"/>
      <c r="G88" s="127"/>
      <c r="H88" s="106"/>
      <c r="I88" s="125"/>
      <c r="J88" s="125"/>
      <c r="K88" s="125"/>
    </row>
    <row r="89" customFormat="false" ht="14.25" hidden="false" customHeight="true" outlineLevel="0" collapsed="false">
      <c r="A89" s="106"/>
      <c r="B89" s="106"/>
      <c r="C89" s="125"/>
      <c r="D89" s="106"/>
      <c r="E89" s="106"/>
      <c r="F89" s="126"/>
      <c r="G89" s="127"/>
      <c r="H89" s="106"/>
      <c r="I89" s="125"/>
      <c r="J89" s="125"/>
      <c r="K89" s="125"/>
    </row>
    <row r="90" customFormat="false" ht="14.25" hidden="false" customHeight="true" outlineLevel="0" collapsed="false">
      <c r="A90" s="106"/>
      <c r="B90" s="106"/>
      <c r="C90" s="125"/>
      <c r="D90" s="106"/>
      <c r="E90" s="106"/>
      <c r="F90" s="126"/>
      <c r="G90" s="127"/>
      <c r="H90" s="106"/>
      <c r="I90" s="125"/>
      <c r="J90" s="125"/>
      <c r="K90" s="125"/>
    </row>
    <row r="91" customFormat="false" ht="14.25" hidden="false" customHeight="true" outlineLevel="0" collapsed="false">
      <c r="A91" s="106"/>
      <c r="B91" s="106"/>
      <c r="C91" s="125"/>
      <c r="D91" s="106"/>
      <c r="E91" s="106"/>
      <c r="F91" s="126"/>
      <c r="G91" s="127"/>
      <c r="H91" s="106"/>
      <c r="I91" s="125"/>
      <c r="J91" s="125"/>
      <c r="K91" s="125"/>
    </row>
    <row r="92" customFormat="false" ht="14.25" hidden="false" customHeight="true" outlineLevel="0" collapsed="false">
      <c r="A92" s="106"/>
      <c r="B92" s="106"/>
      <c r="C92" s="125"/>
      <c r="D92" s="106"/>
      <c r="E92" s="106"/>
      <c r="F92" s="126"/>
      <c r="G92" s="127"/>
      <c r="H92" s="106"/>
      <c r="I92" s="125"/>
      <c r="J92" s="125"/>
      <c r="K92" s="125"/>
    </row>
    <row r="93" customFormat="false" ht="14.25" hidden="false" customHeight="true" outlineLevel="0" collapsed="false">
      <c r="A93" s="106"/>
      <c r="B93" s="106"/>
      <c r="C93" s="125"/>
      <c r="D93" s="106"/>
      <c r="E93" s="106"/>
      <c r="F93" s="126"/>
      <c r="G93" s="127"/>
      <c r="H93" s="106"/>
      <c r="I93" s="125"/>
      <c r="J93" s="125"/>
      <c r="K93" s="125"/>
    </row>
    <row r="94" customFormat="false" ht="14.25" hidden="false" customHeight="true" outlineLevel="0" collapsed="false">
      <c r="A94" s="106"/>
      <c r="B94" s="106"/>
      <c r="C94" s="125"/>
      <c r="D94" s="106"/>
      <c r="E94" s="106"/>
      <c r="F94" s="126"/>
      <c r="G94" s="127"/>
      <c r="H94" s="106"/>
      <c r="I94" s="125"/>
      <c r="J94" s="125"/>
      <c r="K94" s="125"/>
    </row>
    <row r="95" customFormat="false" ht="14.25" hidden="false" customHeight="true" outlineLevel="0" collapsed="false">
      <c r="A95" s="106"/>
      <c r="B95" s="106"/>
      <c r="C95" s="125"/>
      <c r="D95" s="106"/>
      <c r="E95" s="106"/>
      <c r="F95" s="126"/>
      <c r="G95" s="127"/>
      <c r="H95" s="106"/>
      <c r="I95" s="125"/>
      <c r="J95" s="125"/>
      <c r="K95" s="125"/>
    </row>
    <row r="96" customFormat="false" ht="14.25" hidden="false" customHeight="true" outlineLevel="0" collapsed="false">
      <c r="A96" s="106"/>
      <c r="B96" s="106"/>
      <c r="C96" s="125"/>
      <c r="D96" s="106"/>
      <c r="E96" s="106"/>
      <c r="F96" s="126"/>
      <c r="G96" s="127"/>
      <c r="H96" s="106"/>
      <c r="I96" s="125"/>
      <c r="J96" s="125"/>
      <c r="K96" s="125"/>
    </row>
    <row r="97" customFormat="false" ht="14.25" hidden="false" customHeight="true" outlineLevel="0" collapsed="false">
      <c r="A97" s="106"/>
      <c r="B97" s="106"/>
      <c r="C97" s="125"/>
      <c r="D97" s="106"/>
      <c r="E97" s="106"/>
      <c r="F97" s="126"/>
      <c r="G97" s="127"/>
      <c r="H97" s="106"/>
      <c r="I97" s="125"/>
      <c r="J97" s="125"/>
      <c r="K97" s="125"/>
    </row>
    <row r="98" customFormat="false" ht="14.25" hidden="false" customHeight="true" outlineLevel="0" collapsed="false">
      <c r="A98" s="106"/>
      <c r="B98" s="106"/>
      <c r="C98" s="125"/>
      <c r="D98" s="106"/>
      <c r="E98" s="106"/>
      <c r="F98" s="126"/>
      <c r="G98" s="127"/>
      <c r="H98" s="106"/>
      <c r="I98" s="125"/>
      <c r="J98" s="125"/>
      <c r="K98" s="125"/>
    </row>
    <row r="99" customFormat="false" ht="14.25" hidden="false" customHeight="true" outlineLevel="0" collapsed="false">
      <c r="A99" s="106"/>
      <c r="B99" s="106"/>
      <c r="C99" s="125"/>
      <c r="D99" s="106"/>
      <c r="E99" s="106"/>
      <c r="F99" s="126"/>
      <c r="G99" s="127"/>
      <c r="H99" s="106"/>
      <c r="I99" s="125"/>
      <c r="J99" s="125"/>
      <c r="K99" s="125"/>
    </row>
    <row r="100" customFormat="false" ht="14.25" hidden="false" customHeight="true" outlineLevel="0" collapsed="false">
      <c r="A100" s="106"/>
      <c r="B100" s="106"/>
      <c r="C100" s="125"/>
      <c r="D100" s="106"/>
      <c r="E100" s="106"/>
      <c r="F100" s="126"/>
      <c r="G100" s="127"/>
      <c r="H100" s="106"/>
      <c r="I100" s="125"/>
      <c r="J100" s="125"/>
      <c r="K100" s="125"/>
    </row>
    <row r="101" customFormat="false" ht="14.25" hidden="false" customHeight="true" outlineLevel="0" collapsed="false">
      <c r="A101" s="106"/>
      <c r="B101" s="106"/>
      <c r="C101" s="125"/>
      <c r="D101" s="106"/>
      <c r="E101" s="106"/>
      <c r="F101" s="126"/>
      <c r="G101" s="127"/>
      <c r="H101" s="106"/>
      <c r="I101" s="125"/>
      <c r="J101" s="125"/>
      <c r="K101" s="125"/>
    </row>
    <row r="102" customFormat="false" ht="14.25" hidden="false" customHeight="true" outlineLevel="0" collapsed="false">
      <c r="A102" s="106"/>
      <c r="B102" s="106"/>
      <c r="C102" s="125"/>
      <c r="D102" s="106"/>
      <c r="E102" s="106"/>
      <c r="F102" s="126"/>
      <c r="G102" s="127"/>
      <c r="H102" s="106"/>
      <c r="I102" s="125"/>
      <c r="J102" s="125"/>
      <c r="K102" s="125"/>
    </row>
    <row r="103" customFormat="false" ht="14.25" hidden="false" customHeight="true" outlineLevel="0" collapsed="false">
      <c r="A103" s="106"/>
      <c r="B103" s="106"/>
      <c r="C103" s="125"/>
      <c r="D103" s="106"/>
      <c r="E103" s="106"/>
      <c r="F103" s="126"/>
      <c r="G103" s="127"/>
      <c r="H103" s="106"/>
      <c r="I103" s="125"/>
      <c r="J103" s="125"/>
      <c r="K103" s="125"/>
    </row>
    <row r="104" customFormat="false" ht="14.25" hidden="false" customHeight="true" outlineLevel="0" collapsed="false">
      <c r="A104" s="106"/>
      <c r="B104" s="106"/>
      <c r="C104" s="125"/>
      <c r="D104" s="106"/>
      <c r="E104" s="106"/>
      <c r="F104" s="126"/>
      <c r="G104" s="127"/>
      <c r="H104" s="106"/>
      <c r="I104" s="125"/>
      <c r="J104" s="125"/>
      <c r="K104" s="125"/>
    </row>
    <row r="105" customFormat="false" ht="14.25" hidden="false" customHeight="true" outlineLevel="0" collapsed="false">
      <c r="A105" s="106"/>
      <c r="B105" s="106"/>
      <c r="C105" s="125"/>
      <c r="D105" s="106"/>
      <c r="E105" s="106"/>
      <c r="F105" s="126"/>
      <c r="G105" s="127"/>
      <c r="H105" s="106"/>
      <c r="I105" s="125"/>
      <c r="J105" s="125"/>
      <c r="K105" s="125"/>
    </row>
    <row r="106" customFormat="false" ht="14.25" hidden="false" customHeight="true" outlineLevel="0" collapsed="false">
      <c r="A106" s="106"/>
      <c r="B106" s="106"/>
      <c r="C106" s="107"/>
      <c r="D106" s="106"/>
      <c r="E106" s="106"/>
      <c r="F106" s="128"/>
      <c r="G106" s="108"/>
      <c r="H106" s="106"/>
      <c r="I106" s="107"/>
      <c r="J106" s="129"/>
      <c r="K106" s="106"/>
    </row>
    <row r="107" customFormat="false" ht="14.25" hidden="false" customHeight="true" outlineLevel="0" collapsed="false">
      <c r="A107" s="106"/>
      <c r="B107" s="106"/>
      <c r="C107" s="107"/>
      <c r="D107" s="106"/>
      <c r="E107" s="106"/>
      <c r="F107" s="128" t="str">
        <f aca="false">IF(A107="","",MIN(E107/(37.5),1))</f>
        <v/>
      </c>
      <c r="G107" s="108"/>
      <c r="H107" s="106"/>
      <c r="I107" s="107"/>
      <c r="J107" s="129" t="str">
        <f aca="false" t="array" ref="J107:J107">IF(A107="","",ifs(AND(D107=1,H107="Pagas prorrateadas"),2705.41*(F107*G107),AND(D107=1,H107="Pagas no prorrateadas"),2318.93*(F107*G107),AND(D107=2,H107="Pagas prorrateadas"),2246.07*(F107*G107),AND(D107=2,H107="Pagas no prorrateadas"),1925.21*(F107*G107),AND(D107=3,H107="Pagas prorrateadas"),1775.44*(F107*G107),AND(D107=3,H107="Pagas no prorrateadas"),1521.81*(F107*G107),AND(D107=5,H107="Pagas prorrateadas"),1535.9*(F107*G107),AND(D107=5,H107="Pagas no prorrateadas"),1316.49*(F107*G107),AND(D107=7,H107="Pagas prorrateadas"),1493.61*(F107*G107),AND(D107=7,H107="Pagas no prorrateadas"),1280.24*(F107*G107)))</f>
        <v/>
      </c>
      <c r="K107" s="106" t="str">
        <f aca="false">IF(A107="","",IF(J107-I107&gt;=0,"OK",J107-I107))</f>
        <v/>
      </c>
    </row>
    <row r="108" customFormat="false" ht="14.25" hidden="false" customHeight="true" outlineLevel="0" collapsed="false">
      <c r="A108" s="106"/>
      <c r="B108" s="106"/>
      <c r="C108" s="107"/>
      <c r="D108" s="106"/>
      <c r="E108" s="106"/>
      <c r="F108" s="128" t="str">
        <f aca="false">IF(A108="","",MIN(E108/(37.5),1))</f>
        <v/>
      </c>
      <c r="G108" s="108"/>
      <c r="H108" s="106"/>
      <c r="I108" s="107"/>
      <c r="J108" s="129" t="str">
        <f aca="false" t="array" ref="J108:J108">IF(A108="","",ifs(AND(D108=1,H108="Pagas prorrateadas"),2705.41*(F108*G108),AND(D108=1,H108="Pagas no prorrateadas"),2318.93*(F108*G108),AND(D108=2,H108="Pagas prorrateadas"),2246.07*(F108*G108),AND(D108=2,H108="Pagas no prorrateadas"),1925.21*(F108*G108),AND(D108=3,H108="Pagas prorrateadas"),1775.44*(F108*G108),AND(D108=3,H108="Pagas no prorrateadas"),1521.81*(F108*G108),AND(D108=5,H108="Pagas prorrateadas"),1535.9*(F108*G108),AND(D108=5,H108="Pagas no prorrateadas"),1316.49*(F108*G108),AND(D108=7,H108="Pagas prorrateadas"),1493.61*(F108*G108),AND(D108=7,H108="Pagas no prorrateadas"),1280.24*(F108*G108)))</f>
        <v/>
      </c>
      <c r="K108" s="106" t="str">
        <f aca="false">IF(A108="","",IF(J108-I108&gt;=0,"OK",J108-I108))</f>
        <v/>
      </c>
    </row>
    <row r="109" customFormat="false" ht="14.25" hidden="false" customHeight="true" outlineLevel="0" collapsed="false">
      <c r="A109" s="106"/>
      <c r="B109" s="106"/>
      <c r="C109" s="107"/>
      <c r="D109" s="106"/>
      <c r="E109" s="106"/>
      <c r="F109" s="128" t="str">
        <f aca="false">IF(A109="","",MIN(E109/(37.5),1))</f>
        <v/>
      </c>
      <c r="G109" s="108"/>
      <c r="H109" s="106"/>
      <c r="I109" s="107"/>
      <c r="J109" s="129" t="str">
        <f aca="false" t="array" ref="J109:J109">IF(A109="","",ifs(AND(D109=1,H109="Pagas prorrateadas"),2705.41*(F109*G109),AND(D109=1,H109="Pagas no prorrateadas"),2318.93*(F109*G109),AND(D109=2,H109="Pagas prorrateadas"),2246.07*(F109*G109),AND(D109=2,H109="Pagas no prorrateadas"),1925.21*(F109*G109),AND(D109=3,H109="Pagas prorrateadas"),1775.44*(F109*G109),AND(D109=3,H109="Pagas no prorrateadas"),1521.81*(F109*G109),AND(D109=5,H109="Pagas prorrateadas"),1535.9*(F109*G109),AND(D109=5,H109="Pagas no prorrateadas"),1316.49*(F109*G109),AND(D109=7,H109="Pagas prorrateadas"),1493.61*(F109*G109),AND(D109=7,H109="Pagas no prorrateadas"),1280.24*(F109*G109)))</f>
        <v/>
      </c>
      <c r="K109" s="106" t="str">
        <f aca="false">IF(A109="","",IF(J109-I109&gt;=0,"OK",J109-I109))</f>
        <v/>
      </c>
    </row>
    <row r="110" customFormat="false" ht="14.25" hidden="false" customHeight="true" outlineLevel="0" collapsed="false">
      <c r="A110" s="106"/>
      <c r="B110" s="106"/>
      <c r="C110" s="107"/>
      <c r="D110" s="106"/>
      <c r="E110" s="106"/>
      <c r="F110" s="128" t="str">
        <f aca="false">IF(A110="","",MIN(E110/(37.5),1))</f>
        <v/>
      </c>
      <c r="G110" s="108"/>
      <c r="H110" s="106"/>
      <c r="I110" s="107"/>
      <c r="J110" s="129" t="str">
        <f aca="false" t="array" ref="J110:J110">IF(A110="","",ifs(AND(D110=1,H110="Pagas prorrateadas"),2705.41*(F110*G110),AND(D110=1,H110="Pagas no prorrateadas"),2318.93*(F110*G110),AND(D110=2,H110="Pagas prorrateadas"),2246.07*(F110*G110),AND(D110=2,H110="Pagas no prorrateadas"),1925.21*(F110*G110),AND(D110=3,H110="Pagas prorrateadas"),1775.44*(F110*G110),AND(D110=3,H110="Pagas no prorrateadas"),1521.81*(F110*G110),AND(D110=5,H110="Pagas prorrateadas"),1535.9*(F110*G110),AND(D110=5,H110="Pagas no prorrateadas"),1316.49*(F110*G110),AND(D110=7,H110="Pagas prorrateadas"),1493.61*(F110*G110),AND(D110=7,H110="Pagas no prorrateadas"),1280.24*(F110*G110)))</f>
        <v/>
      </c>
      <c r="K110" s="106" t="str">
        <f aca="false">IF(A110="","",IF(J110-I110&gt;=0,"OK",J110-I110))</f>
        <v/>
      </c>
    </row>
    <row r="111" customFormat="false" ht="14.25" hidden="false" customHeight="true" outlineLevel="0" collapsed="false">
      <c r="A111" s="106"/>
      <c r="B111" s="106"/>
      <c r="C111" s="107"/>
      <c r="D111" s="106"/>
      <c r="E111" s="106"/>
      <c r="F111" s="128" t="str">
        <f aca="false">IF(A111="","",MIN(E111/(37.5),1))</f>
        <v/>
      </c>
      <c r="G111" s="108"/>
      <c r="H111" s="106"/>
      <c r="I111" s="107"/>
      <c r="J111" s="129" t="str">
        <f aca="false" t="array" ref="J111:J111">IF(A111="","",ifs(AND(D111=1,H111="Pagas prorrateadas"),2705.41*(F111*G111),AND(D111=1,H111="Pagas no prorrateadas"),2318.93*(F111*G111),AND(D111=2,H111="Pagas prorrateadas"),2246.07*(F111*G111),AND(D111=2,H111="Pagas no prorrateadas"),1925.21*(F111*G111),AND(D111=3,H111="Pagas prorrateadas"),1775.44*(F111*G111),AND(D111=3,H111="Pagas no prorrateadas"),1521.81*(F111*G111),AND(D111=5,H111="Pagas prorrateadas"),1535.9*(F111*G111),AND(D111=5,H111="Pagas no prorrateadas"),1316.49*(F111*G111),AND(D111=7,H111="Pagas prorrateadas"),1493.61*(F111*G111),AND(D111=7,H111="Pagas no prorrateadas"),1280.24*(F111*G111)))</f>
        <v/>
      </c>
      <c r="K111" s="106" t="str">
        <f aca="false">IF(A111="","",IF(J111-I111&gt;=0,"OK",J111-I111))</f>
        <v/>
      </c>
    </row>
    <row r="112" customFormat="false" ht="14.25" hidden="false" customHeight="true" outlineLevel="0" collapsed="false">
      <c r="A112" s="106"/>
      <c r="B112" s="106"/>
      <c r="C112" s="107"/>
      <c r="D112" s="106"/>
      <c r="E112" s="106"/>
      <c r="F112" s="128" t="str">
        <f aca="false">IF(A112="","",MIN(E112/(37.5),1))</f>
        <v/>
      </c>
      <c r="G112" s="108"/>
      <c r="H112" s="106"/>
      <c r="I112" s="107"/>
      <c r="J112" s="129" t="str">
        <f aca="false" t="array" ref="J112:J112">IF(A112="","",ifs(AND(D112=1,H112="Pagas prorrateadas"),2705.41*(F112*G112),AND(D112=1,H112="Pagas no prorrateadas"),2318.93*(F112*G112),AND(D112=2,H112="Pagas prorrateadas"),2246.07*(F112*G112),AND(D112=2,H112="Pagas no prorrateadas"),1925.21*(F112*G112),AND(D112=3,H112="Pagas prorrateadas"),1775.44*(F112*G112),AND(D112=3,H112="Pagas no prorrateadas"),1521.81*(F112*G112),AND(D112=5,H112="Pagas prorrateadas"),1535.9*(F112*G112),AND(D112=5,H112="Pagas no prorrateadas"),1316.49*(F112*G112),AND(D112=7,H112="Pagas prorrateadas"),1493.61*(F112*G112),AND(D112=7,H112="Pagas no prorrateadas"),1280.24*(F112*G112)))</f>
        <v/>
      </c>
      <c r="K112" s="106" t="str">
        <f aca="false">IF(A112="","",IF(J112-I112&gt;=0,"OK",J112-I112))</f>
        <v/>
      </c>
    </row>
    <row r="113" customFormat="false" ht="14.25" hidden="false" customHeight="true" outlineLevel="0" collapsed="false">
      <c r="A113" s="106"/>
      <c r="B113" s="106"/>
      <c r="C113" s="107"/>
      <c r="D113" s="106"/>
      <c r="E113" s="106"/>
      <c r="F113" s="128" t="str">
        <f aca="false">IF(A113="","",MIN(E113/(37.5),1))</f>
        <v/>
      </c>
      <c r="G113" s="108"/>
      <c r="H113" s="106"/>
      <c r="I113" s="107"/>
      <c r="J113" s="129" t="str">
        <f aca="false" t="array" ref="J113:J113">IF(A113="","",ifs(AND(D113=1,H113="Pagas prorrateadas"),2705.41*(F113*G113),AND(D113=1,H113="Pagas no prorrateadas"),2318.93*(F113*G113),AND(D113=2,H113="Pagas prorrateadas"),2246.07*(F113*G113),AND(D113=2,H113="Pagas no prorrateadas"),1925.21*(F113*G113),AND(D113=3,H113="Pagas prorrateadas"),1775.44*(F113*G113),AND(D113=3,H113="Pagas no prorrateadas"),1521.81*(F113*G113),AND(D113=5,H113="Pagas prorrateadas"),1535.9*(F113*G113),AND(D113=5,H113="Pagas no prorrateadas"),1316.49*(F113*G113),AND(D113=7,H113="Pagas prorrateadas"),1493.61*(F113*G113),AND(D113=7,H113="Pagas no prorrateadas"),1280.24*(F113*G113)))</f>
        <v/>
      </c>
      <c r="K113" s="106" t="str">
        <f aca="false">IF(A113="","",IF(J113-I113&gt;=0,"OK",J113-I113))</f>
        <v/>
      </c>
    </row>
    <row r="114" customFormat="false" ht="14.25" hidden="false" customHeight="true" outlineLevel="0" collapsed="false">
      <c r="A114" s="106"/>
      <c r="B114" s="106"/>
      <c r="C114" s="107"/>
      <c r="D114" s="106"/>
      <c r="E114" s="106"/>
      <c r="F114" s="128" t="str">
        <f aca="false">IF(A114="","",MIN(E114/(37.5),1))</f>
        <v/>
      </c>
      <c r="G114" s="108"/>
      <c r="H114" s="106"/>
      <c r="I114" s="107"/>
      <c r="J114" s="129" t="str">
        <f aca="false" t="array" ref="J114:J114">IF(A114="","",ifs(AND(D114=1,H114="Pagas prorrateadas"),2705.41*(F114*G114),AND(D114=1,H114="Pagas no prorrateadas"),2318.93*(F114*G114),AND(D114=2,H114="Pagas prorrateadas"),2246.07*(F114*G114),AND(D114=2,H114="Pagas no prorrateadas"),1925.21*(F114*G114),AND(D114=3,H114="Pagas prorrateadas"),1775.44*(F114*G114),AND(D114=3,H114="Pagas no prorrateadas"),1521.81*(F114*G114),AND(D114=5,H114="Pagas prorrateadas"),1535.9*(F114*G114),AND(D114=5,H114="Pagas no prorrateadas"),1316.49*(F114*G114),AND(D114=7,H114="Pagas prorrateadas"),1493.61*(F114*G114),AND(D114=7,H114="Pagas no prorrateadas"),1280.24*(F114*G114)))</f>
        <v/>
      </c>
      <c r="K114" s="106" t="str">
        <f aca="false">IF(A114="","",IF(J114-I114&gt;=0,"OK",J114-I114))</f>
        <v/>
      </c>
    </row>
    <row r="115" customFormat="false" ht="14.25" hidden="false" customHeight="true" outlineLevel="0" collapsed="false">
      <c r="A115" s="106"/>
      <c r="B115" s="106"/>
      <c r="C115" s="107"/>
      <c r="D115" s="106"/>
      <c r="E115" s="106"/>
      <c r="F115" s="128" t="str">
        <f aca="false">IF(A115="","",MIN(E115/(37.5),1))</f>
        <v/>
      </c>
      <c r="G115" s="108"/>
      <c r="H115" s="106"/>
      <c r="I115" s="107"/>
      <c r="J115" s="129" t="str">
        <f aca="false" t="array" ref="J115:J115">IF(A115="","",ifs(AND(D115=1,H115="Pagas prorrateadas"),2705.41*(F115*G115),AND(D115=1,H115="Pagas no prorrateadas"),2318.93*(F115*G115),AND(D115=2,H115="Pagas prorrateadas"),2246.07*(F115*G115),AND(D115=2,H115="Pagas no prorrateadas"),1925.21*(F115*G115),AND(D115=3,H115="Pagas prorrateadas"),1775.44*(F115*G115),AND(D115=3,H115="Pagas no prorrateadas"),1521.81*(F115*G115),AND(D115=5,H115="Pagas prorrateadas"),1535.9*(F115*G115),AND(D115=5,H115="Pagas no prorrateadas"),1316.49*(F115*G115),AND(D115=7,H115="Pagas prorrateadas"),1493.61*(F115*G115),AND(D115=7,H115="Pagas no prorrateadas"),1280.24*(F115*G115)))</f>
        <v/>
      </c>
      <c r="K115" s="106" t="str">
        <f aca="false">IF(A115="","",IF(J115-I115&gt;=0,"OK",J115-I115))</f>
        <v/>
      </c>
    </row>
    <row r="116" customFormat="false" ht="14.25" hidden="false" customHeight="true" outlineLevel="0" collapsed="false">
      <c r="A116" s="106"/>
      <c r="B116" s="106"/>
      <c r="C116" s="107"/>
      <c r="D116" s="106"/>
      <c r="E116" s="106"/>
      <c r="F116" s="130" t="str">
        <f aca="false">IF(A116="","",MIN(E116/(37.5),1))</f>
        <v/>
      </c>
      <c r="G116" s="108"/>
      <c r="H116" s="106"/>
      <c r="I116" s="107"/>
      <c r="J116" s="131" t="str">
        <f aca="false" t="array" ref="J116:J116">IF(A116="","",ifs(AND(D116=1,H116="Pagas prorrateadas"),2705.41*(F116*G116),AND(D116=1,H116="Pagas no prorrateadas"),2318.93*(F116*G116),AND(D116=2,H116="Pagas prorrateadas"),2246.07*(F116*G116),AND(D116=2,H116="Pagas no prorrateadas"),1925.21*(F116*G116),AND(D116=3,H116="Pagas prorrateadas"),1775.44*(F116*G116),AND(D116=3,H116="Pagas no prorrateadas"),1521.81*(F116*G116),AND(D116=5,H116="Pagas prorrateadas"),1535.9*(F116*G116),AND(D116=5,H116="Pagas no prorrateadas"),1316.49*(F116*G116),AND(D116=7,H116="Pagas prorrateadas"),1493.61*(F116*G116),AND(D116=7,H116="Pagas no prorrateadas"),1280.24*(F116*G116)))</f>
        <v/>
      </c>
      <c r="K116" s="106" t="str">
        <f aca="false">IF(A116="","",IF(J116-I116&gt;=0,"OK",J116-I116))</f>
        <v/>
      </c>
    </row>
    <row r="117" customFormat="false" ht="14.25" hidden="false" customHeight="true" outlineLevel="0" collapsed="false">
      <c r="A117" s="106"/>
      <c r="B117" s="106"/>
      <c r="C117" s="107"/>
      <c r="D117" s="106"/>
      <c r="E117" s="106"/>
      <c r="F117" s="130" t="str">
        <f aca="false">IF(A117="","",MIN(E117/(37.5),1))</f>
        <v/>
      </c>
      <c r="G117" s="108"/>
      <c r="H117" s="106"/>
      <c r="I117" s="107"/>
      <c r="J117" s="131" t="str">
        <f aca="false" t="array" ref="J117:J117">IF(A117="","",ifs(AND(D117=1,H117="Pagas prorrateadas"),2705.41*(F117*G117),AND(D117=1,H117="Pagas no prorrateadas"),2318.93*(F117*G117),AND(D117=2,H117="Pagas prorrateadas"),2246.07*(F117*G117),AND(D117=2,H117="Pagas no prorrateadas"),1925.21*(F117*G117),AND(D117=3,H117="Pagas prorrateadas"),1775.44*(F117*G117),AND(D117=3,H117="Pagas no prorrateadas"),1521.81*(F117*G117),AND(D117=5,H117="Pagas prorrateadas"),1535.9*(F117*G117),AND(D117=5,H117="Pagas no prorrateadas"),1316.49*(F117*G117),AND(D117=7,H117="Pagas prorrateadas"),1493.61*(F117*G117),AND(D117=7,H117="Pagas no prorrateadas"),1280.24*(F117*G117)))</f>
        <v/>
      </c>
      <c r="K117" s="106" t="str">
        <f aca="false">IF(A117="","",IF(J117-I117&gt;=0,"OK",J117-I117))</f>
        <v/>
      </c>
    </row>
    <row r="118" customFormat="false" ht="14.25" hidden="false" customHeight="true" outlineLevel="0" collapsed="false">
      <c r="A118" s="106"/>
      <c r="B118" s="106"/>
      <c r="C118" s="107"/>
      <c r="D118" s="106"/>
      <c r="E118" s="106"/>
      <c r="F118" s="130" t="str">
        <f aca="false">IF(A118="","",MIN(E118/(37.5),1))</f>
        <v/>
      </c>
      <c r="G118" s="108"/>
      <c r="H118" s="106"/>
      <c r="I118" s="107"/>
      <c r="J118" s="131" t="str">
        <f aca="false" t="array" ref="J118:J118">IF(A118="","",ifs(AND(D118=1,H118="Pagas prorrateadas"),2705.41*(F118*G118),AND(D118=1,H118="Pagas no prorrateadas"),2318.93*(F118*G118),AND(D118=2,H118="Pagas prorrateadas"),2246.07*(F118*G118),AND(D118=2,H118="Pagas no prorrateadas"),1925.21*(F118*G118),AND(D118=3,H118="Pagas prorrateadas"),1775.44*(F118*G118),AND(D118=3,H118="Pagas no prorrateadas"),1521.81*(F118*G118),AND(D118=5,H118="Pagas prorrateadas"),1535.9*(F118*G118),AND(D118=5,H118="Pagas no prorrateadas"),1316.49*(F118*G118),AND(D118=7,H118="Pagas prorrateadas"),1493.61*(F118*G118),AND(D118=7,H118="Pagas no prorrateadas"),1280.24*(F118*G118)))</f>
        <v/>
      </c>
      <c r="K118" s="106" t="str">
        <f aca="false">IF(A118="","",IF(J118-I118&gt;=0,"OK",J118-I118))</f>
        <v/>
      </c>
    </row>
    <row r="119" customFormat="false" ht="14.25" hidden="false" customHeight="true" outlineLevel="0" collapsed="false">
      <c r="A119" s="106"/>
      <c r="B119" s="106"/>
      <c r="C119" s="107"/>
      <c r="D119" s="106"/>
      <c r="E119" s="106"/>
      <c r="F119" s="130" t="str">
        <f aca="false">IF(A119="","",MIN(E119/(37.5),1))</f>
        <v/>
      </c>
      <c r="G119" s="108"/>
      <c r="H119" s="106"/>
      <c r="I119" s="107"/>
      <c r="J119" s="131" t="str">
        <f aca="false" t="array" ref="J119:J119">IF(A119="","",ifs(AND(D119=1,H119="Pagas prorrateadas"),2705.41*(F119*G119),AND(D119=1,H119="Pagas no prorrateadas"),2318.93*(F119*G119),AND(D119=2,H119="Pagas prorrateadas"),2246.07*(F119*G119),AND(D119=2,H119="Pagas no prorrateadas"),1925.21*(F119*G119),AND(D119=3,H119="Pagas prorrateadas"),1775.44*(F119*G119),AND(D119=3,H119="Pagas no prorrateadas"),1521.81*(F119*G119),AND(D119=5,H119="Pagas prorrateadas"),1535.9*(F119*G119),AND(D119=5,H119="Pagas no prorrateadas"),1316.49*(F119*G119),AND(D119=7,H119="Pagas prorrateadas"),1493.61*(F119*G119),AND(D119=7,H119="Pagas no prorrateadas"),1280.24*(F119*G119)))</f>
        <v/>
      </c>
      <c r="K119" s="106" t="str">
        <f aca="false">IF(A119="","",IF(J119-I119&gt;=0,"OK",J119-I119))</f>
        <v/>
      </c>
    </row>
    <row r="120" customFormat="false" ht="14.25" hidden="false" customHeight="true" outlineLevel="0" collapsed="false">
      <c r="A120" s="106"/>
      <c r="B120" s="106"/>
      <c r="C120" s="107"/>
      <c r="D120" s="106"/>
      <c r="E120" s="106"/>
      <c r="F120" s="130" t="str">
        <f aca="false">IF(A120="","",MIN(E120/(37.5),1))</f>
        <v/>
      </c>
      <c r="G120" s="108"/>
      <c r="H120" s="106"/>
      <c r="I120" s="107"/>
      <c r="J120" s="131" t="str">
        <f aca="false" t="array" ref="J120:J120">IF(A120="","",ifs(AND(D120=1,H120="Pagas prorrateadas"),2705.41*(F120*G120),AND(D120=1,H120="Pagas no prorrateadas"),2318.93*(F120*G120),AND(D120=2,H120="Pagas prorrateadas"),2246.07*(F120*G120),AND(D120=2,H120="Pagas no prorrateadas"),1925.21*(F120*G120),AND(D120=3,H120="Pagas prorrateadas"),1775.44*(F120*G120),AND(D120=3,H120="Pagas no prorrateadas"),1521.81*(F120*G120),AND(D120=5,H120="Pagas prorrateadas"),1535.9*(F120*G120),AND(D120=5,H120="Pagas no prorrateadas"),1316.49*(F120*G120),AND(D120=7,H120="Pagas prorrateadas"),1493.61*(F120*G120),AND(D120=7,H120="Pagas no prorrateadas"),1280.24*(F120*G120)))</f>
        <v/>
      </c>
      <c r="K120" s="106" t="str">
        <f aca="false">IF(A120="","",IF(J120-I120&gt;=0,"OK",J120-I120))</f>
        <v/>
      </c>
    </row>
    <row r="121" customFormat="false" ht="14.25" hidden="false" customHeight="true" outlineLevel="0" collapsed="false">
      <c r="A121" s="106"/>
      <c r="B121" s="106"/>
      <c r="C121" s="107"/>
      <c r="D121" s="106"/>
      <c r="E121" s="106"/>
      <c r="F121" s="130" t="str">
        <f aca="false">IF(A121="","",MIN(E121/(37.5),1))</f>
        <v/>
      </c>
      <c r="G121" s="108"/>
      <c r="H121" s="106"/>
      <c r="I121" s="107"/>
      <c r="J121" s="131" t="str">
        <f aca="false" t="array" ref="J121:J121">IF(A121="","",ifs(AND(D121=1,H121="Pagas prorrateadas"),2705.41*(F121*G121),AND(D121=1,H121="Pagas no prorrateadas"),2318.93*(F121*G121),AND(D121=2,H121="Pagas prorrateadas"),2246.07*(F121*G121),AND(D121=2,H121="Pagas no prorrateadas"),1925.21*(F121*G121),AND(D121=3,H121="Pagas prorrateadas"),1775.44*(F121*G121),AND(D121=3,H121="Pagas no prorrateadas"),1521.81*(F121*G121),AND(D121=5,H121="Pagas prorrateadas"),1535.9*(F121*G121),AND(D121=5,H121="Pagas no prorrateadas"),1316.49*(F121*G121),AND(D121=7,H121="Pagas prorrateadas"),1493.61*(F121*G121),AND(D121=7,H121="Pagas no prorrateadas"),1280.24*(F121*G121)))</f>
        <v/>
      </c>
      <c r="K121" s="106" t="str">
        <f aca="false">IF(A121="","",IF(J121-I121&gt;=0,"OK",J121-I121))</f>
        <v/>
      </c>
    </row>
    <row r="122" customFormat="false" ht="14.25" hidden="false" customHeight="true" outlineLevel="0" collapsed="false">
      <c r="A122" s="106"/>
      <c r="B122" s="106"/>
      <c r="C122" s="107"/>
      <c r="D122" s="106"/>
      <c r="E122" s="106"/>
      <c r="F122" s="130" t="str">
        <f aca="false">IF(A122="","",MIN(E122/(37.5),1))</f>
        <v/>
      </c>
      <c r="G122" s="108"/>
      <c r="H122" s="106"/>
      <c r="I122" s="107"/>
      <c r="J122" s="131" t="str">
        <f aca="false" t="array" ref="J122:J122">IF(A122="","",ifs(AND(D122=1,H122="Pagas prorrateadas"),2705.41*(F122*G122),AND(D122=1,H122="Pagas no prorrateadas"),2318.93*(F122*G122),AND(D122=2,H122="Pagas prorrateadas"),2246.07*(F122*G122),AND(D122=2,H122="Pagas no prorrateadas"),1925.21*(F122*G122),AND(D122=3,H122="Pagas prorrateadas"),1775.44*(F122*G122),AND(D122=3,H122="Pagas no prorrateadas"),1521.81*(F122*G122),AND(D122=5,H122="Pagas prorrateadas"),1535.9*(F122*G122),AND(D122=5,H122="Pagas no prorrateadas"),1316.49*(F122*G122),AND(D122=7,H122="Pagas prorrateadas"),1493.61*(F122*G122),AND(D122=7,H122="Pagas no prorrateadas"),1280.24*(F122*G122)))</f>
        <v/>
      </c>
      <c r="K122" s="106" t="str">
        <f aca="false">IF(A122="","",IF(J122-I122&gt;=0,"OK",J122-I122))</f>
        <v/>
      </c>
    </row>
    <row r="123" customFormat="false" ht="14.25" hidden="false" customHeight="true" outlineLevel="0" collapsed="false">
      <c r="A123" s="106"/>
      <c r="B123" s="106"/>
      <c r="C123" s="107"/>
      <c r="D123" s="106"/>
      <c r="E123" s="106"/>
      <c r="F123" s="130" t="str">
        <f aca="false">IF(A123="","",MIN(E123/(37.5),1))</f>
        <v/>
      </c>
      <c r="G123" s="108"/>
      <c r="H123" s="106"/>
      <c r="I123" s="107"/>
      <c r="J123" s="131" t="str">
        <f aca="false" t="array" ref="J123:J123">IF(A123="","",ifs(AND(D123=1,H123="Pagas prorrateadas"),2705.41*(F123*G123),AND(D123=1,H123="Pagas no prorrateadas"),2318.93*(F123*G123),AND(D123=2,H123="Pagas prorrateadas"),2246.07*(F123*G123),AND(D123=2,H123="Pagas no prorrateadas"),1925.21*(F123*G123),AND(D123=3,H123="Pagas prorrateadas"),1775.44*(F123*G123),AND(D123=3,H123="Pagas no prorrateadas"),1521.81*(F123*G123),AND(D123=5,H123="Pagas prorrateadas"),1535.9*(F123*G123),AND(D123=5,H123="Pagas no prorrateadas"),1316.49*(F123*G123),AND(D123=7,H123="Pagas prorrateadas"),1493.61*(F123*G123),AND(D123=7,H123="Pagas no prorrateadas"),1280.24*(F123*G123)))</f>
        <v/>
      </c>
      <c r="K123" s="106" t="str">
        <f aca="false">IF(A123="","",IF(J123-I123&gt;=0,"OK",J123-I123))</f>
        <v/>
      </c>
    </row>
    <row r="124" customFormat="false" ht="14.25" hidden="false" customHeight="true" outlineLevel="0" collapsed="false">
      <c r="A124" s="106"/>
      <c r="B124" s="106"/>
      <c r="C124" s="107"/>
      <c r="D124" s="106"/>
      <c r="E124" s="106"/>
      <c r="F124" s="130" t="str">
        <f aca="false">IF(A124="","",MIN(E124/(37.5),1))</f>
        <v/>
      </c>
      <c r="G124" s="108"/>
      <c r="H124" s="106"/>
      <c r="I124" s="107"/>
      <c r="J124" s="131" t="str">
        <f aca="false" t="array" ref="J124:J124">IF(A124="","",ifs(AND(D124=1,H124="Pagas prorrateadas"),2705.41*(F124*G124),AND(D124=1,H124="Pagas no prorrateadas"),2318.93*(F124*G124),AND(D124=2,H124="Pagas prorrateadas"),2246.07*(F124*G124),AND(D124=2,H124="Pagas no prorrateadas"),1925.21*(F124*G124),AND(D124=3,H124="Pagas prorrateadas"),1775.44*(F124*G124),AND(D124=3,H124="Pagas no prorrateadas"),1521.81*(F124*G124),AND(D124=5,H124="Pagas prorrateadas"),1535.9*(F124*G124),AND(D124=5,H124="Pagas no prorrateadas"),1316.49*(F124*G124),AND(D124=7,H124="Pagas prorrateadas"),1493.61*(F124*G124),AND(D124=7,H124="Pagas no prorrateadas"),1280.24*(F124*G124)))</f>
        <v/>
      </c>
      <c r="K124" s="106" t="str">
        <f aca="false">IF(A124="","",IF(J124-I124&gt;=0,"OK",J124-I124))</f>
        <v/>
      </c>
    </row>
    <row r="125" customFormat="false" ht="14.25" hidden="false" customHeight="true" outlineLevel="0" collapsed="false">
      <c r="A125" s="106"/>
      <c r="B125" s="106"/>
      <c r="C125" s="107"/>
      <c r="D125" s="106"/>
      <c r="E125" s="106"/>
      <c r="F125" s="130" t="str">
        <f aca="false">IF(A125="","",MIN(E125/(37.5),1))</f>
        <v/>
      </c>
      <c r="G125" s="108"/>
      <c r="H125" s="106"/>
      <c r="I125" s="107"/>
      <c r="J125" s="131" t="str">
        <f aca="false" t="array" ref="J125:J125">IF(A125="","",ifs(AND(D125=1,H125="Pagas prorrateadas"),2705.41*(F125*G125),AND(D125=1,H125="Pagas no prorrateadas"),2318.93*(F125*G125),AND(D125=2,H125="Pagas prorrateadas"),2246.07*(F125*G125),AND(D125=2,H125="Pagas no prorrateadas"),1925.21*(F125*G125),AND(D125=3,H125="Pagas prorrateadas"),1775.44*(F125*G125),AND(D125=3,H125="Pagas no prorrateadas"),1521.81*(F125*G125),AND(D125=5,H125="Pagas prorrateadas"),1535.9*(F125*G125),AND(D125=5,H125="Pagas no prorrateadas"),1316.49*(F125*G125),AND(D125=7,H125="Pagas prorrateadas"),1493.61*(F125*G125),AND(D125=7,H125="Pagas no prorrateadas"),1280.24*(F125*G125)))</f>
        <v/>
      </c>
      <c r="K125" s="106" t="str">
        <f aca="false">IF(A125="","",IF(J125-I125&gt;=0,"OK",J125-I125))</f>
        <v/>
      </c>
    </row>
    <row r="126" customFormat="false" ht="14.25" hidden="false" customHeight="true" outlineLevel="0" collapsed="false">
      <c r="A126" s="106"/>
      <c r="B126" s="106"/>
      <c r="C126" s="107"/>
      <c r="D126" s="106"/>
      <c r="E126" s="106"/>
      <c r="F126" s="130" t="str">
        <f aca="false">IF(A126="","",MIN(E126/(37.5),1))</f>
        <v/>
      </c>
      <c r="G126" s="108"/>
      <c r="H126" s="106"/>
      <c r="I126" s="107"/>
      <c r="J126" s="131" t="str">
        <f aca="false" t="array" ref="J126:J126">IF(A126="","",ifs(AND(D126=1,H126="Pagas prorrateadas"),2705.41*(F126*G126),AND(D126=1,H126="Pagas no prorrateadas"),2318.93*(F126*G126),AND(D126=2,H126="Pagas prorrateadas"),2246.07*(F126*G126),AND(D126=2,H126="Pagas no prorrateadas"),1925.21*(F126*G126),AND(D126=3,H126="Pagas prorrateadas"),1775.44*(F126*G126),AND(D126=3,H126="Pagas no prorrateadas"),1521.81*(F126*G126),AND(D126=5,H126="Pagas prorrateadas"),1535.9*(F126*G126),AND(D126=5,H126="Pagas no prorrateadas"),1316.49*(F126*G126),AND(D126=7,H126="Pagas prorrateadas"),1493.61*(F126*G126),AND(D126=7,H126="Pagas no prorrateadas"),1280.24*(F126*G126)))</f>
        <v/>
      </c>
      <c r="K126" s="106" t="str">
        <f aca="false">IF(A126="","",IF(J126-I126&gt;=0,"OK",J126-I126))</f>
        <v/>
      </c>
    </row>
    <row r="127" customFormat="false" ht="14.25" hidden="false" customHeight="true" outlineLevel="0" collapsed="false">
      <c r="A127" s="106"/>
      <c r="B127" s="106"/>
      <c r="C127" s="107"/>
      <c r="D127" s="106"/>
      <c r="E127" s="106"/>
      <c r="F127" s="130" t="str">
        <f aca="false">IF(A127="","",MIN(E127/(37.5),1))</f>
        <v/>
      </c>
      <c r="G127" s="108"/>
      <c r="H127" s="106"/>
      <c r="I127" s="107"/>
      <c r="J127" s="131" t="str">
        <f aca="false" t="array" ref="J127:J127">IF(A127="","",ifs(AND(D127=1,H127="Pagas prorrateadas"),2705.41*(F127*G127),AND(D127=1,H127="Pagas no prorrateadas"),2318.93*(F127*G127),AND(D127=2,H127="Pagas prorrateadas"),2246.07*(F127*G127),AND(D127=2,H127="Pagas no prorrateadas"),1925.21*(F127*G127),AND(D127=3,H127="Pagas prorrateadas"),1775.44*(F127*G127),AND(D127=3,H127="Pagas no prorrateadas"),1521.81*(F127*G127),AND(D127=5,H127="Pagas prorrateadas"),1535.9*(F127*G127),AND(D127=5,H127="Pagas no prorrateadas"),1316.49*(F127*G127),AND(D127=7,H127="Pagas prorrateadas"),1493.61*(F127*G127),AND(D127=7,H127="Pagas no prorrateadas"),1280.24*(F127*G127)))</f>
        <v/>
      </c>
      <c r="K127" s="106" t="str">
        <f aca="false">IF(A127="","",IF(J127-I127&gt;=0,"OK",J127-I127))</f>
        <v/>
      </c>
    </row>
    <row r="128" customFormat="false" ht="14.25" hidden="false" customHeight="true" outlineLevel="0" collapsed="false">
      <c r="A128" s="106"/>
      <c r="B128" s="106"/>
      <c r="C128" s="107"/>
      <c r="D128" s="106"/>
      <c r="E128" s="106"/>
      <c r="F128" s="130" t="str">
        <f aca="false">IF(A128="","",MIN(E128/(37.5),1))</f>
        <v/>
      </c>
      <c r="G128" s="108"/>
      <c r="H128" s="106"/>
      <c r="I128" s="107"/>
      <c r="J128" s="131" t="str">
        <f aca="false" t="array" ref="J128:J128">IF(A128="","",ifs(AND(D128=1,H128="Pagas prorrateadas"),2705.41*(F128*G128),AND(D128=1,H128="Pagas no prorrateadas"),2318.93*(F128*G128),AND(D128=2,H128="Pagas prorrateadas"),2246.07*(F128*G128),AND(D128=2,H128="Pagas no prorrateadas"),1925.21*(F128*G128),AND(D128=3,H128="Pagas prorrateadas"),1775.44*(F128*G128),AND(D128=3,H128="Pagas no prorrateadas"),1521.81*(F128*G128),AND(D128=5,H128="Pagas prorrateadas"),1535.9*(F128*G128),AND(D128=5,H128="Pagas no prorrateadas"),1316.49*(F128*G128),AND(D128=7,H128="Pagas prorrateadas"),1493.61*(F128*G128),AND(D128=7,H128="Pagas no prorrateadas"),1280.24*(F128*G128)))</f>
        <v/>
      </c>
      <c r="K128" s="106" t="str">
        <f aca="false">IF(A128="","",IF(J128-I128&gt;=0,"OK",J128-I128))</f>
        <v/>
      </c>
    </row>
    <row r="129" customFormat="false" ht="14.25" hidden="false" customHeight="true" outlineLevel="0" collapsed="false">
      <c r="A129" s="106"/>
      <c r="B129" s="106"/>
      <c r="C129" s="107"/>
      <c r="D129" s="106"/>
      <c r="E129" s="106"/>
      <c r="F129" s="130" t="str">
        <f aca="false">IF(A129="","",MIN(E129/(37.5),1))</f>
        <v/>
      </c>
      <c r="G129" s="108"/>
      <c r="H129" s="106"/>
      <c r="I129" s="107"/>
      <c r="J129" s="131" t="str">
        <f aca="false" t="array" ref="J129:J129">IF(A129="","",ifs(AND(D129=1,H129="Pagas prorrateadas"),2705.41*(F129*G129),AND(D129=1,H129="Pagas no prorrateadas"),2318.93*(F129*G129),AND(D129=2,H129="Pagas prorrateadas"),2246.07*(F129*G129),AND(D129=2,H129="Pagas no prorrateadas"),1925.21*(F129*G129),AND(D129=3,H129="Pagas prorrateadas"),1775.44*(F129*G129),AND(D129=3,H129="Pagas no prorrateadas"),1521.81*(F129*G129),AND(D129=5,H129="Pagas prorrateadas"),1535.9*(F129*G129),AND(D129=5,H129="Pagas no prorrateadas"),1316.49*(F129*G129),AND(D129=7,H129="Pagas prorrateadas"),1493.61*(F129*G129),AND(D129=7,H129="Pagas no prorrateadas"),1280.24*(F129*G129)))</f>
        <v/>
      </c>
      <c r="K129" s="106" t="str">
        <f aca="false">IF(A129="","",IF(J129-I129&gt;=0,"OK",J129-I129))</f>
        <v/>
      </c>
    </row>
    <row r="130" customFormat="false" ht="14.25" hidden="false" customHeight="true" outlineLevel="0" collapsed="false">
      <c r="A130" s="106"/>
      <c r="B130" s="106"/>
      <c r="C130" s="107"/>
      <c r="D130" s="106"/>
      <c r="E130" s="106"/>
      <c r="F130" s="130" t="str">
        <f aca="false">IF(A130="","",MIN(E130/(37.5),1))</f>
        <v/>
      </c>
      <c r="G130" s="108"/>
      <c r="H130" s="106"/>
      <c r="I130" s="107"/>
      <c r="J130" s="131" t="str">
        <f aca="false" t="array" ref="J130:J130">IF(A130="","",ifs(AND(D130=1,H130="Pagas prorrateadas"),2705.41*(F130*G130),AND(D130=1,H130="Pagas no prorrateadas"),2318.93*(F130*G130),AND(D130=2,H130="Pagas prorrateadas"),2246.07*(F130*G130),AND(D130=2,H130="Pagas no prorrateadas"),1925.21*(F130*G130),AND(D130=3,H130="Pagas prorrateadas"),1775.44*(F130*G130),AND(D130=3,H130="Pagas no prorrateadas"),1521.81*(F130*G130),AND(D130=5,H130="Pagas prorrateadas"),1535.9*(F130*G130),AND(D130=5,H130="Pagas no prorrateadas"),1316.49*(F130*G130),AND(D130=7,H130="Pagas prorrateadas"),1493.61*(F130*G130),AND(D130=7,H130="Pagas no prorrateadas"),1280.24*(F130*G130)))</f>
        <v/>
      </c>
      <c r="K130" s="106" t="str">
        <f aca="false">IF(A130="","",IF(J130-I130&gt;=0,"OK",J130-I130))</f>
        <v/>
      </c>
    </row>
    <row r="131" customFormat="false" ht="14.25" hidden="false" customHeight="true" outlineLevel="0" collapsed="false">
      <c r="A131" s="106"/>
      <c r="B131" s="106"/>
      <c r="C131" s="107"/>
      <c r="D131" s="106"/>
      <c r="E131" s="106"/>
      <c r="F131" s="130" t="str">
        <f aca="false">IF(A131="","",MIN(E131/(37.5),1))</f>
        <v/>
      </c>
      <c r="G131" s="108"/>
      <c r="H131" s="106"/>
      <c r="I131" s="107"/>
      <c r="J131" s="131" t="str">
        <f aca="false" t="array" ref="J131:J131">IF(A131="","",ifs(AND(D131=1,H131="Pagas prorrateadas"),2705.41*(F131*G131),AND(D131=1,H131="Pagas no prorrateadas"),2318.93*(F131*G131),AND(D131=2,H131="Pagas prorrateadas"),2246.07*(F131*G131),AND(D131=2,H131="Pagas no prorrateadas"),1925.21*(F131*G131),AND(D131=3,H131="Pagas prorrateadas"),1775.44*(F131*G131),AND(D131=3,H131="Pagas no prorrateadas"),1521.81*(F131*G131),AND(D131=5,H131="Pagas prorrateadas"),1535.9*(F131*G131),AND(D131=5,H131="Pagas no prorrateadas"),1316.49*(F131*G131),AND(D131=7,H131="Pagas prorrateadas"),1493.61*(F131*G131),AND(D131=7,H131="Pagas no prorrateadas"),1280.24*(F131*G131)))</f>
        <v/>
      </c>
      <c r="K131" s="106" t="str">
        <f aca="false">IF(A131="","",IF(J131-I131&gt;=0,"OK",J131-I131))</f>
        <v/>
      </c>
    </row>
    <row r="132" customFormat="false" ht="14.25" hidden="false" customHeight="true" outlineLevel="0" collapsed="false">
      <c r="A132" s="106"/>
      <c r="B132" s="106"/>
      <c r="C132" s="107"/>
      <c r="D132" s="106"/>
      <c r="E132" s="106"/>
      <c r="F132" s="130" t="str">
        <f aca="false">IF(A132="","",MIN(E132/(37.5),1))</f>
        <v/>
      </c>
      <c r="G132" s="108"/>
      <c r="H132" s="106"/>
      <c r="I132" s="107"/>
      <c r="J132" s="131" t="str">
        <f aca="false" t="array" ref="J132:J132">IF(A132="","",ifs(AND(D132=1,H132="Pagas prorrateadas"),2705.41*(F132*G132),AND(D132=1,H132="Pagas no prorrateadas"),2318.93*(F132*G132),AND(D132=2,H132="Pagas prorrateadas"),2246.07*(F132*G132),AND(D132=2,H132="Pagas no prorrateadas"),1925.21*(F132*G132),AND(D132=3,H132="Pagas prorrateadas"),1775.44*(F132*G132),AND(D132=3,H132="Pagas no prorrateadas"),1521.81*(F132*G132),AND(D132=5,H132="Pagas prorrateadas"),1535.9*(F132*G132),AND(D132=5,H132="Pagas no prorrateadas"),1316.49*(F132*G132),AND(D132=7,H132="Pagas prorrateadas"),1493.61*(F132*G132),AND(D132=7,H132="Pagas no prorrateadas"),1280.24*(F132*G132)))</f>
        <v/>
      </c>
      <c r="K132" s="106" t="str">
        <f aca="false">IF(A132="","",IF(J132-I132&gt;=0,"OK",J132-I132))</f>
        <v/>
      </c>
    </row>
    <row r="133" customFormat="false" ht="14.25" hidden="false" customHeight="true" outlineLevel="0" collapsed="false">
      <c r="A133" s="106"/>
      <c r="B133" s="106"/>
      <c r="C133" s="107"/>
      <c r="D133" s="106"/>
      <c r="E133" s="106"/>
      <c r="F133" s="130" t="str">
        <f aca="false">IF(A133="","",MIN(E133/(37.5),1))</f>
        <v/>
      </c>
      <c r="G133" s="108"/>
      <c r="H133" s="106"/>
      <c r="I133" s="107"/>
      <c r="J133" s="131" t="str">
        <f aca="false" t="array" ref="J133:J133">IF(A133="","",ifs(AND(D133=1,H133="Pagas prorrateadas"),2705.41*(F133*G133),AND(D133=1,H133="Pagas no prorrateadas"),2318.93*(F133*G133),AND(D133=2,H133="Pagas prorrateadas"),2246.07*(F133*G133),AND(D133=2,H133="Pagas no prorrateadas"),1925.21*(F133*G133),AND(D133=3,H133="Pagas prorrateadas"),1775.44*(F133*G133),AND(D133=3,H133="Pagas no prorrateadas"),1521.81*(F133*G133),AND(D133=5,H133="Pagas prorrateadas"),1535.9*(F133*G133),AND(D133=5,H133="Pagas no prorrateadas"),1316.49*(F133*G133),AND(D133=7,H133="Pagas prorrateadas"),1493.61*(F133*G133),AND(D133=7,H133="Pagas no prorrateadas"),1280.24*(F133*G133)))</f>
        <v/>
      </c>
      <c r="K133" s="106" t="str">
        <f aca="false">IF(A133="","",IF(J133-I133&gt;=0,"OK",J133-I133))</f>
        <v/>
      </c>
    </row>
    <row r="134" customFormat="false" ht="14.25" hidden="false" customHeight="true" outlineLevel="0" collapsed="false">
      <c r="A134" s="106"/>
      <c r="B134" s="106"/>
      <c r="C134" s="107"/>
      <c r="D134" s="106"/>
      <c r="E134" s="106"/>
      <c r="F134" s="130" t="str">
        <f aca="false">IF(A134="","",MIN(E134/(37.5),1))</f>
        <v/>
      </c>
      <c r="G134" s="108"/>
      <c r="H134" s="106"/>
      <c r="I134" s="107"/>
      <c r="J134" s="131" t="str">
        <f aca="false" t="array" ref="J134:J134">IF(A134="","",ifs(AND(D134=1,H134="Pagas prorrateadas"),2705.41*(F134*G134),AND(D134=1,H134="Pagas no prorrateadas"),2318.93*(F134*G134),AND(D134=2,H134="Pagas prorrateadas"),2246.07*(F134*G134),AND(D134=2,H134="Pagas no prorrateadas"),1925.21*(F134*G134),AND(D134=3,H134="Pagas prorrateadas"),1775.44*(F134*G134),AND(D134=3,H134="Pagas no prorrateadas"),1521.81*(F134*G134),AND(D134=5,H134="Pagas prorrateadas"),1535.9*(F134*G134),AND(D134=5,H134="Pagas no prorrateadas"),1316.49*(F134*G134),AND(D134=7,H134="Pagas prorrateadas"),1493.61*(F134*G134),AND(D134=7,H134="Pagas no prorrateadas"),1280.24*(F134*G134)))</f>
        <v/>
      </c>
      <c r="K134" s="106" t="str">
        <f aca="false">IF(A134="","",IF(J134-I134&gt;=0,"OK",J134-I134))</f>
        <v/>
      </c>
    </row>
    <row r="135" customFormat="false" ht="14.25" hidden="false" customHeight="true" outlineLevel="0" collapsed="false">
      <c r="A135" s="106"/>
      <c r="B135" s="106"/>
      <c r="C135" s="107"/>
      <c r="D135" s="106"/>
      <c r="E135" s="106"/>
      <c r="F135" s="130" t="str">
        <f aca="false">IF(A135="","",MIN(E135/(37.5),1))</f>
        <v/>
      </c>
      <c r="G135" s="108"/>
      <c r="H135" s="106"/>
      <c r="I135" s="107"/>
      <c r="J135" s="131" t="str">
        <f aca="false" t="array" ref="J135:J135">IF(A135="","",ifs(AND(D135=1,H135="Pagas prorrateadas"),2705.41*(F135*G135),AND(D135=1,H135="Pagas no prorrateadas"),2318.93*(F135*G135),AND(D135=2,H135="Pagas prorrateadas"),2246.07*(F135*G135),AND(D135=2,H135="Pagas no prorrateadas"),1925.21*(F135*G135),AND(D135=3,H135="Pagas prorrateadas"),1775.44*(F135*G135),AND(D135=3,H135="Pagas no prorrateadas"),1521.81*(F135*G135),AND(D135=5,H135="Pagas prorrateadas"),1535.9*(F135*G135),AND(D135=5,H135="Pagas no prorrateadas"),1316.49*(F135*G135),AND(D135=7,H135="Pagas prorrateadas"),1493.61*(F135*G135),AND(D135=7,H135="Pagas no prorrateadas"),1280.24*(F135*G135)))</f>
        <v/>
      </c>
      <c r="K135" s="106" t="str">
        <f aca="false">IF(A135="","",IF(J135-I135&gt;=0,"OK",J135-I135))</f>
        <v/>
      </c>
    </row>
    <row r="136" customFormat="false" ht="14.25" hidden="false" customHeight="true" outlineLevel="0" collapsed="false">
      <c r="A136" s="106"/>
      <c r="B136" s="106"/>
      <c r="C136" s="107"/>
      <c r="D136" s="106"/>
      <c r="E136" s="106"/>
      <c r="F136" s="130" t="str">
        <f aca="false">IF(A136="","",MIN(E136/(37.5),1))</f>
        <v/>
      </c>
      <c r="G136" s="108"/>
      <c r="H136" s="106"/>
      <c r="I136" s="107"/>
      <c r="J136" s="131" t="str">
        <f aca="false" t="array" ref="J136:J136">IF(A136="","",ifs(AND(D136=1,H136="Pagas prorrateadas"),2705.41*(F136*G136),AND(D136=1,H136="Pagas no prorrateadas"),2318.93*(F136*G136),AND(D136=2,H136="Pagas prorrateadas"),2246.07*(F136*G136),AND(D136=2,H136="Pagas no prorrateadas"),1925.21*(F136*G136),AND(D136=3,H136="Pagas prorrateadas"),1775.44*(F136*G136),AND(D136=3,H136="Pagas no prorrateadas"),1521.81*(F136*G136),AND(D136=5,H136="Pagas prorrateadas"),1535.9*(F136*G136),AND(D136=5,H136="Pagas no prorrateadas"),1316.49*(F136*G136),AND(D136=7,H136="Pagas prorrateadas"),1493.61*(F136*G136),AND(D136=7,H136="Pagas no prorrateadas"),1280.24*(F136*G136)))</f>
        <v/>
      </c>
      <c r="K136" s="106" t="str">
        <f aca="false">IF(A136="","",IF(J136-I136&gt;=0,"OK",J136-I136))</f>
        <v/>
      </c>
    </row>
    <row r="137" customFormat="false" ht="14.25" hidden="false" customHeight="true" outlineLevel="0" collapsed="false">
      <c r="A137" s="106"/>
      <c r="B137" s="106"/>
      <c r="C137" s="107"/>
      <c r="D137" s="106"/>
      <c r="E137" s="106"/>
      <c r="F137" s="130" t="str">
        <f aca="false">IF(A137="","",MIN(E137/(37.5),1))</f>
        <v/>
      </c>
      <c r="G137" s="108"/>
      <c r="H137" s="106"/>
      <c r="I137" s="107"/>
      <c r="J137" s="131" t="str">
        <f aca="false" t="array" ref="J137:J137">IF(A137="","",ifs(AND(D137=1,H137="Pagas prorrateadas"),2705.41*(F137*G137),AND(D137=1,H137="Pagas no prorrateadas"),2318.93*(F137*G137),AND(D137=2,H137="Pagas prorrateadas"),2246.07*(F137*G137),AND(D137=2,H137="Pagas no prorrateadas"),1925.21*(F137*G137),AND(D137=3,H137="Pagas prorrateadas"),1775.44*(F137*G137),AND(D137=3,H137="Pagas no prorrateadas"),1521.81*(F137*G137),AND(D137=5,H137="Pagas prorrateadas"),1535.9*(F137*G137),AND(D137=5,H137="Pagas no prorrateadas"),1316.49*(F137*G137),AND(D137=7,H137="Pagas prorrateadas"),1493.61*(F137*G137),AND(D137=7,H137="Pagas no prorrateadas"),1280.24*(F137*G137)))</f>
        <v/>
      </c>
      <c r="K137" s="106" t="str">
        <f aca="false">IF(A137="","",IF(J137-I137&gt;=0,"OK",J137-I137))</f>
        <v/>
      </c>
    </row>
    <row r="138" customFormat="false" ht="14.25" hidden="false" customHeight="true" outlineLevel="0" collapsed="false">
      <c r="A138" s="106"/>
      <c r="B138" s="106"/>
      <c r="C138" s="107"/>
      <c r="D138" s="106"/>
      <c r="E138" s="106"/>
      <c r="F138" s="130" t="str">
        <f aca="false">IF(A138="","",MIN(E138/(37.5),1))</f>
        <v/>
      </c>
      <c r="G138" s="108"/>
      <c r="H138" s="106"/>
      <c r="I138" s="107"/>
      <c r="J138" s="131" t="str">
        <f aca="false" t="array" ref="J138:J138">IF(A138="","",ifs(AND(D138=1,H138="Pagas prorrateadas"),2705.41*(F138*G138),AND(D138=1,H138="Pagas no prorrateadas"),2318.93*(F138*G138),AND(D138=2,H138="Pagas prorrateadas"),2246.07*(F138*G138),AND(D138=2,H138="Pagas no prorrateadas"),1925.21*(F138*G138),AND(D138=3,H138="Pagas prorrateadas"),1775.44*(F138*G138),AND(D138=3,H138="Pagas no prorrateadas"),1521.81*(F138*G138),AND(D138=5,H138="Pagas prorrateadas"),1535.9*(F138*G138),AND(D138=5,H138="Pagas no prorrateadas"),1316.49*(F138*G138),AND(D138=7,H138="Pagas prorrateadas"),1493.61*(F138*G138),AND(D138=7,H138="Pagas no prorrateadas"),1280.24*(F138*G138)))</f>
        <v/>
      </c>
      <c r="K138" s="106" t="str">
        <f aca="false">IF(A138="","",IF(J138-I138&gt;=0,"OK",J138-I138))</f>
        <v/>
      </c>
    </row>
    <row r="139" customFormat="false" ht="14.25" hidden="false" customHeight="true" outlineLevel="0" collapsed="false">
      <c r="A139" s="106"/>
      <c r="B139" s="106"/>
      <c r="C139" s="107"/>
      <c r="D139" s="106"/>
      <c r="E139" s="106"/>
      <c r="F139" s="130" t="str">
        <f aca="false">IF(A139="","",MIN(E139/(37.5),1))</f>
        <v/>
      </c>
      <c r="G139" s="108"/>
      <c r="H139" s="106"/>
      <c r="I139" s="107"/>
      <c r="J139" s="131" t="str">
        <f aca="false" t="array" ref="J139:J139">IF(A139="","",ifs(AND(D139=1,H139="Pagas prorrateadas"),2705.41*(F139*G139),AND(D139=1,H139="Pagas no prorrateadas"),2318.93*(F139*G139),AND(D139=2,H139="Pagas prorrateadas"),2246.07*(F139*G139),AND(D139=2,H139="Pagas no prorrateadas"),1925.21*(F139*G139),AND(D139=3,H139="Pagas prorrateadas"),1775.44*(F139*G139),AND(D139=3,H139="Pagas no prorrateadas"),1521.81*(F139*G139),AND(D139=5,H139="Pagas prorrateadas"),1535.9*(F139*G139),AND(D139=5,H139="Pagas no prorrateadas"),1316.49*(F139*G139),AND(D139=7,H139="Pagas prorrateadas"),1493.61*(F139*G139),AND(D139=7,H139="Pagas no prorrateadas"),1280.24*(F139*G139)))</f>
        <v/>
      </c>
      <c r="K139" s="106" t="str">
        <f aca="false">IF(A139="","",IF(J139-I139&gt;=0,"OK",J139-I139))</f>
        <v/>
      </c>
    </row>
    <row r="140" customFormat="false" ht="14.25" hidden="false" customHeight="true" outlineLevel="0" collapsed="false">
      <c r="A140" s="106"/>
      <c r="B140" s="106"/>
      <c r="C140" s="107"/>
      <c r="D140" s="106"/>
      <c r="E140" s="106"/>
      <c r="F140" s="130" t="str">
        <f aca="false">IF(A140="","",MIN(E140/(37.5),1))</f>
        <v/>
      </c>
      <c r="G140" s="108"/>
      <c r="H140" s="106"/>
      <c r="I140" s="107"/>
      <c r="J140" s="131" t="str">
        <f aca="false" t="array" ref="J140:J140">IF(A140="","",ifs(AND(D140=1,H140="Pagas prorrateadas"),2705.41*(F140*G140),AND(D140=1,H140="Pagas no prorrateadas"),2318.93*(F140*G140),AND(D140=2,H140="Pagas prorrateadas"),2246.07*(F140*G140),AND(D140=2,H140="Pagas no prorrateadas"),1925.21*(F140*G140),AND(D140=3,H140="Pagas prorrateadas"),1775.44*(F140*G140),AND(D140=3,H140="Pagas no prorrateadas"),1521.81*(F140*G140),AND(D140=5,H140="Pagas prorrateadas"),1535.9*(F140*G140),AND(D140=5,H140="Pagas no prorrateadas"),1316.49*(F140*G140),AND(D140=7,H140="Pagas prorrateadas"),1493.61*(F140*G140),AND(D140=7,H140="Pagas no prorrateadas"),1280.24*(F140*G140)))</f>
        <v/>
      </c>
      <c r="K140" s="106" t="str">
        <f aca="false">IF(A140="","",IF(J140-I140&gt;=0,"OK",J140-I140))</f>
        <v/>
      </c>
    </row>
    <row r="141" customFormat="false" ht="14.25" hidden="false" customHeight="true" outlineLevel="0" collapsed="false">
      <c r="A141" s="106"/>
      <c r="B141" s="106"/>
      <c r="C141" s="107"/>
      <c r="D141" s="106"/>
      <c r="E141" s="106"/>
      <c r="F141" s="130" t="str">
        <f aca="false">IF(A141="","",MIN(E141/(37.5),1))</f>
        <v/>
      </c>
      <c r="G141" s="108"/>
      <c r="H141" s="106"/>
      <c r="I141" s="107"/>
      <c r="J141" s="131" t="str">
        <f aca="false" t="array" ref="J141:J141">IF(A141="","",ifs(AND(D141=1,H141="Pagas prorrateadas"),2705.41*(F141*G141),AND(D141=1,H141="Pagas no prorrateadas"),2318.93*(F141*G141),AND(D141=2,H141="Pagas prorrateadas"),2246.07*(F141*G141),AND(D141=2,H141="Pagas no prorrateadas"),1925.21*(F141*G141),AND(D141=3,H141="Pagas prorrateadas"),1775.44*(F141*G141),AND(D141=3,H141="Pagas no prorrateadas"),1521.81*(F141*G141),AND(D141=5,H141="Pagas prorrateadas"),1535.9*(F141*G141),AND(D141=5,H141="Pagas no prorrateadas"),1316.49*(F141*G141),AND(D141=7,H141="Pagas prorrateadas"),1493.61*(F141*G141),AND(D141=7,H141="Pagas no prorrateadas"),1280.24*(F141*G141)))</f>
        <v/>
      </c>
      <c r="K141" s="106" t="str">
        <f aca="false">IF(A141="","",IF(J141-I141&gt;=0,"OK",J141-I141))</f>
        <v/>
      </c>
    </row>
    <row r="142" customFormat="false" ht="14.25" hidden="false" customHeight="true" outlineLevel="0" collapsed="false">
      <c r="A142" s="106"/>
      <c r="B142" s="106"/>
      <c r="C142" s="107"/>
      <c r="D142" s="106"/>
      <c r="E142" s="106"/>
      <c r="F142" s="130" t="str">
        <f aca="false">IF(A142="","",MIN(E142/(37.5),1))</f>
        <v/>
      </c>
      <c r="G142" s="108"/>
      <c r="H142" s="106"/>
      <c r="I142" s="107"/>
      <c r="J142" s="131" t="str">
        <f aca="false" t="array" ref="J142:J142">IF(A142="","",ifs(AND(D142=1,H142="Pagas prorrateadas"),2705.41*(F142*G142),AND(D142=1,H142="Pagas no prorrateadas"),2318.93*(F142*G142),AND(D142=2,H142="Pagas prorrateadas"),2246.07*(F142*G142),AND(D142=2,H142="Pagas no prorrateadas"),1925.21*(F142*G142),AND(D142=3,H142="Pagas prorrateadas"),1775.44*(F142*G142),AND(D142=3,H142="Pagas no prorrateadas"),1521.81*(F142*G142),AND(D142=5,H142="Pagas prorrateadas"),1535.9*(F142*G142),AND(D142=5,H142="Pagas no prorrateadas"),1316.49*(F142*G142),AND(D142=7,H142="Pagas prorrateadas"),1493.61*(F142*G142),AND(D142=7,H142="Pagas no prorrateadas"),1280.24*(F142*G142)))</f>
        <v/>
      </c>
      <c r="K142" s="106" t="str">
        <f aca="false">IF(A142="","",IF(J142-I142&gt;=0,"OK",J142-I142))</f>
        <v/>
      </c>
    </row>
    <row r="143" customFormat="false" ht="14.25" hidden="false" customHeight="true" outlineLevel="0" collapsed="false">
      <c r="A143" s="106"/>
      <c r="B143" s="106"/>
      <c r="C143" s="107"/>
      <c r="D143" s="106"/>
      <c r="E143" s="106"/>
      <c r="F143" s="130" t="str">
        <f aca="false">IF(A143="","",MIN(E143/(37.5),1))</f>
        <v/>
      </c>
      <c r="G143" s="108"/>
      <c r="H143" s="106"/>
      <c r="I143" s="107"/>
      <c r="J143" s="131" t="str">
        <f aca="false" t="array" ref="J143:J143">IF(A143="","",ifs(AND(D143=1,H143="Pagas prorrateadas"),2705.41*(F143*G143),AND(D143=1,H143="Pagas no prorrateadas"),2318.93*(F143*G143),AND(D143=2,H143="Pagas prorrateadas"),2246.07*(F143*G143),AND(D143=2,H143="Pagas no prorrateadas"),1925.21*(F143*G143),AND(D143=3,H143="Pagas prorrateadas"),1775.44*(F143*G143),AND(D143=3,H143="Pagas no prorrateadas"),1521.81*(F143*G143),AND(D143=5,H143="Pagas prorrateadas"),1535.9*(F143*G143),AND(D143=5,H143="Pagas no prorrateadas"),1316.49*(F143*G143),AND(D143=7,H143="Pagas prorrateadas"),1493.61*(F143*G143),AND(D143=7,H143="Pagas no prorrateadas"),1280.24*(F143*G143)))</f>
        <v/>
      </c>
      <c r="K143" s="106" t="str">
        <f aca="false">IF(A143="","",IF(J143-I143&gt;=0,"OK",J143-I143))</f>
        <v/>
      </c>
    </row>
    <row r="144" customFormat="false" ht="14.25" hidden="false" customHeight="true" outlineLevel="0" collapsed="false">
      <c r="A144" s="106"/>
      <c r="B144" s="106"/>
      <c r="C144" s="107"/>
      <c r="D144" s="106"/>
      <c r="E144" s="106"/>
      <c r="F144" s="130" t="str">
        <f aca="false">IF(A144="","",MIN(E144/(37.5),1))</f>
        <v/>
      </c>
      <c r="G144" s="108"/>
      <c r="H144" s="106"/>
      <c r="I144" s="107"/>
      <c r="J144" s="131" t="str">
        <f aca="false" t="array" ref="J144:J144">IF(A144="","",ifs(AND(D144=1,H144="Pagas prorrateadas"),2705.41*(F144*G144),AND(D144=1,H144="Pagas no prorrateadas"),2318.93*(F144*G144),AND(D144=2,H144="Pagas prorrateadas"),2246.07*(F144*G144),AND(D144=2,H144="Pagas no prorrateadas"),1925.21*(F144*G144),AND(D144=3,H144="Pagas prorrateadas"),1775.44*(F144*G144),AND(D144=3,H144="Pagas no prorrateadas"),1521.81*(F144*G144),AND(D144=5,H144="Pagas prorrateadas"),1535.9*(F144*G144),AND(D144=5,H144="Pagas no prorrateadas"),1316.49*(F144*G144),AND(D144=7,H144="Pagas prorrateadas"),1493.61*(F144*G144),AND(D144=7,H144="Pagas no prorrateadas"),1280.24*(F144*G144)))</f>
        <v/>
      </c>
      <c r="K144" s="106" t="str">
        <f aca="false">IF(A144="","",IF(J144-I144&gt;=0,"OK",J144-I144))</f>
        <v/>
      </c>
    </row>
    <row r="145" customFormat="false" ht="14.25" hidden="false" customHeight="true" outlineLevel="0" collapsed="false">
      <c r="A145" s="106"/>
      <c r="B145" s="106"/>
      <c r="C145" s="107"/>
      <c r="D145" s="106"/>
      <c r="E145" s="106"/>
      <c r="F145" s="130" t="str">
        <f aca="false">IF(A145="","",MIN(E145/(37.5),1))</f>
        <v/>
      </c>
      <c r="G145" s="108"/>
      <c r="H145" s="106"/>
      <c r="I145" s="107"/>
      <c r="J145" s="131" t="str">
        <f aca="false" t="array" ref="J145:J145">IF(A145="","",ifs(AND(D145=1,H145="Pagas prorrateadas"),2705.41*(F145*G145),AND(D145=1,H145="Pagas no prorrateadas"),2318.93*(F145*G145),AND(D145=2,H145="Pagas prorrateadas"),2246.07*(F145*G145),AND(D145=2,H145="Pagas no prorrateadas"),1925.21*(F145*G145),AND(D145=3,H145="Pagas prorrateadas"),1775.44*(F145*G145),AND(D145=3,H145="Pagas no prorrateadas"),1521.81*(F145*G145),AND(D145=5,H145="Pagas prorrateadas"),1535.9*(F145*G145),AND(D145=5,H145="Pagas no prorrateadas"),1316.49*(F145*G145),AND(D145=7,H145="Pagas prorrateadas"),1493.61*(F145*G145),AND(D145=7,H145="Pagas no prorrateadas"),1280.24*(F145*G145)))</f>
        <v/>
      </c>
      <c r="K145" s="106" t="str">
        <f aca="false">IF(A145="","",IF(J145-I145&gt;=0,"OK",J145-I145))</f>
        <v/>
      </c>
    </row>
    <row r="146" customFormat="false" ht="14.25" hidden="false" customHeight="true" outlineLevel="0" collapsed="false">
      <c r="A146" s="106"/>
      <c r="B146" s="106"/>
      <c r="C146" s="107"/>
      <c r="D146" s="106"/>
      <c r="E146" s="106"/>
      <c r="F146" s="130" t="str">
        <f aca="false">IF(A146="","",MIN(E146/(37.5),1))</f>
        <v/>
      </c>
      <c r="G146" s="108"/>
      <c r="H146" s="106"/>
      <c r="I146" s="107"/>
      <c r="J146" s="131" t="str">
        <f aca="false" t="array" ref="J146:J146">IF(A146="","",ifs(AND(D146=1,H146="Pagas prorrateadas"),2705.41*(F146*G146),AND(D146=1,H146="Pagas no prorrateadas"),2318.93*(F146*G146),AND(D146=2,H146="Pagas prorrateadas"),2246.07*(F146*G146),AND(D146=2,H146="Pagas no prorrateadas"),1925.21*(F146*G146),AND(D146=3,H146="Pagas prorrateadas"),1775.44*(F146*G146),AND(D146=3,H146="Pagas no prorrateadas"),1521.81*(F146*G146),AND(D146=5,H146="Pagas prorrateadas"),1535.9*(F146*G146),AND(D146=5,H146="Pagas no prorrateadas"),1316.49*(F146*G146),AND(D146=7,H146="Pagas prorrateadas"),1493.61*(F146*G146),AND(D146=7,H146="Pagas no prorrateadas"),1280.24*(F146*G146)))</f>
        <v/>
      </c>
      <c r="K146" s="106" t="str">
        <f aca="false">IF(A146="","",IF(J146-I146&gt;=0,"OK",J146-I146))</f>
        <v/>
      </c>
    </row>
    <row r="147" customFormat="false" ht="14.25" hidden="false" customHeight="true" outlineLevel="0" collapsed="false">
      <c r="A147" s="106"/>
      <c r="B147" s="106"/>
      <c r="C147" s="107"/>
      <c r="D147" s="106"/>
      <c r="E147" s="106"/>
      <c r="F147" s="130" t="str">
        <f aca="false">IF(A147="","",MIN(E147/(37.5),1))</f>
        <v/>
      </c>
      <c r="G147" s="108"/>
      <c r="H147" s="106"/>
      <c r="I147" s="107"/>
      <c r="J147" s="131" t="str">
        <f aca="false" t="array" ref="J147:J147">IF(A147="","",ifs(AND(D147=1,H147="Pagas prorrateadas"),2705.41*(F147*G147),AND(D147=1,H147="Pagas no prorrateadas"),2318.93*(F147*G147),AND(D147=2,H147="Pagas prorrateadas"),2246.07*(F147*G147),AND(D147=2,H147="Pagas no prorrateadas"),1925.21*(F147*G147),AND(D147=3,H147="Pagas prorrateadas"),1775.44*(F147*G147),AND(D147=3,H147="Pagas no prorrateadas"),1521.81*(F147*G147),AND(D147=5,H147="Pagas prorrateadas"),1535.9*(F147*G147),AND(D147=5,H147="Pagas no prorrateadas"),1316.49*(F147*G147),AND(D147=7,H147="Pagas prorrateadas"),1493.61*(F147*G147),AND(D147=7,H147="Pagas no prorrateadas"),1280.24*(F147*G147)))</f>
        <v/>
      </c>
      <c r="K147" s="106" t="str">
        <f aca="false">IF(A147="","",IF(J147-I147&gt;=0,"OK",J147-I147))</f>
        <v/>
      </c>
    </row>
    <row r="148" customFormat="false" ht="14.25" hidden="false" customHeight="true" outlineLevel="0" collapsed="false">
      <c r="A148" s="106"/>
      <c r="B148" s="106"/>
      <c r="C148" s="107"/>
      <c r="D148" s="106"/>
      <c r="E148" s="106"/>
      <c r="F148" s="130" t="str">
        <f aca="false">IF(A148="","",MIN(E148/(37.5),1))</f>
        <v/>
      </c>
      <c r="G148" s="108"/>
      <c r="H148" s="106"/>
      <c r="I148" s="107"/>
      <c r="J148" s="131" t="str">
        <f aca="false" t="array" ref="J148:J148">IF(A148="","",ifs(AND(D148=1,H148="Pagas prorrateadas"),2705.41*(F148*G148),AND(D148=1,H148="Pagas no prorrateadas"),2318.93*(F148*G148),AND(D148=2,H148="Pagas prorrateadas"),2246.07*(F148*G148),AND(D148=2,H148="Pagas no prorrateadas"),1925.21*(F148*G148),AND(D148=3,H148="Pagas prorrateadas"),1775.44*(F148*G148),AND(D148=3,H148="Pagas no prorrateadas"),1521.81*(F148*G148),AND(D148=5,H148="Pagas prorrateadas"),1535.9*(F148*G148),AND(D148=5,H148="Pagas no prorrateadas"),1316.49*(F148*G148),AND(D148=7,H148="Pagas prorrateadas"),1493.61*(F148*G148),AND(D148=7,H148="Pagas no prorrateadas"),1280.24*(F148*G148)))</f>
        <v/>
      </c>
      <c r="K148" s="106" t="str">
        <f aca="false">IF(A148="","",IF(J148-I148&gt;=0,"OK",J148-I148))</f>
        <v/>
      </c>
    </row>
    <row r="149" customFormat="false" ht="14.25" hidden="false" customHeight="true" outlineLevel="0" collapsed="false">
      <c r="A149" s="106"/>
      <c r="B149" s="106"/>
      <c r="C149" s="107"/>
      <c r="D149" s="106"/>
      <c r="E149" s="106"/>
      <c r="F149" s="130" t="str">
        <f aca="false">IF(A149="","",MIN(E149/(37.5),1))</f>
        <v/>
      </c>
      <c r="G149" s="108"/>
      <c r="H149" s="106"/>
      <c r="I149" s="107"/>
      <c r="J149" s="131" t="str">
        <f aca="false" t="array" ref="J149:J149">IF(A149="","",ifs(AND(D149=1,H149="Pagas prorrateadas"),2705.41*(F149*G149),AND(D149=1,H149="Pagas no prorrateadas"),2318.93*(F149*G149),AND(D149=2,H149="Pagas prorrateadas"),2246.07*(F149*G149),AND(D149=2,H149="Pagas no prorrateadas"),1925.21*(F149*G149),AND(D149=3,H149="Pagas prorrateadas"),1775.44*(F149*G149),AND(D149=3,H149="Pagas no prorrateadas"),1521.81*(F149*G149),AND(D149=5,H149="Pagas prorrateadas"),1535.9*(F149*G149),AND(D149=5,H149="Pagas no prorrateadas"),1316.49*(F149*G149),AND(D149=7,H149="Pagas prorrateadas"),1493.61*(F149*G149),AND(D149=7,H149="Pagas no prorrateadas"),1280.24*(F149*G149)))</f>
        <v/>
      </c>
      <c r="K149" s="106" t="str">
        <f aca="false">IF(A149="","",IF(J149-I149&gt;=0,"OK",J149-I149))</f>
        <v/>
      </c>
    </row>
    <row r="150" customFormat="false" ht="14.25" hidden="false" customHeight="true" outlineLevel="0" collapsed="false">
      <c r="A150" s="106"/>
      <c r="B150" s="106"/>
      <c r="C150" s="107"/>
      <c r="D150" s="106"/>
      <c r="E150" s="106"/>
      <c r="F150" s="130" t="str">
        <f aca="false">IF(A150="","",MIN(E150/(37.5),1))</f>
        <v/>
      </c>
      <c r="G150" s="108"/>
      <c r="H150" s="106"/>
      <c r="I150" s="107"/>
      <c r="J150" s="131" t="str">
        <f aca="false" t="array" ref="J150:J150">IF(A150="","",ifs(AND(D150=1,H150="Pagas prorrateadas"),2705.41*(F150*G150),AND(D150=1,H150="Pagas no prorrateadas"),2318.93*(F150*G150),AND(D150=2,H150="Pagas prorrateadas"),2246.07*(F150*G150),AND(D150=2,H150="Pagas no prorrateadas"),1925.21*(F150*G150),AND(D150=3,H150="Pagas prorrateadas"),1775.44*(F150*G150),AND(D150=3,H150="Pagas no prorrateadas"),1521.81*(F150*G150),AND(D150=5,H150="Pagas prorrateadas"),1535.9*(F150*G150),AND(D150=5,H150="Pagas no prorrateadas"),1316.49*(F150*G150),AND(D150=7,H150="Pagas prorrateadas"),1493.61*(F150*G150),AND(D150=7,H150="Pagas no prorrateadas"),1280.24*(F150*G150)))</f>
        <v/>
      </c>
      <c r="K150" s="106" t="str">
        <f aca="false">IF(A150="","",IF(J150-I150&gt;=0,"OK",J150-I150))</f>
        <v/>
      </c>
    </row>
    <row r="151" customFormat="false" ht="14.25" hidden="false" customHeight="true" outlineLevel="0" collapsed="false">
      <c r="A151" s="106"/>
      <c r="B151" s="106"/>
      <c r="C151" s="107"/>
      <c r="D151" s="106"/>
      <c r="E151" s="106"/>
      <c r="F151" s="130" t="str">
        <f aca="false">IF(A151="","",MIN(E151/(37.5),1))</f>
        <v/>
      </c>
      <c r="G151" s="108"/>
      <c r="H151" s="106"/>
      <c r="I151" s="107"/>
      <c r="J151" s="131" t="str">
        <f aca="false" t="array" ref="J151:J151">IF(A151="","",ifs(AND(D151=1,H151="Pagas prorrateadas"),2705.41*(F151*G151),AND(D151=1,H151="Pagas no prorrateadas"),2318.93*(F151*G151),AND(D151=2,H151="Pagas prorrateadas"),2246.07*(F151*G151),AND(D151=2,H151="Pagas no prorrateadas"),1925.21*(F151*G151),AND(D151=3,H151="Pagas prorrateadas"),1775.44*(F151*G151),AND(D151=3,H151="Pagas no prorrateadas"),1521.81*(F151*G151),AND(D151=5,H151="Pagas prorrateadas"),1535.9*(F151*G151),AND(D151=5,H151="Pagas no prorrateadas"),1316.49*(F151*G151),AND(D151=7,H151="Pagas prorrateadas"),1493.61*(F151*G151),AND(D151=7,H151="Pagas no prorrateadas"),1280.24*(F151*G151)))</f>
        <v/>
      </c>
      <c r="K151" s="106" t="str">
        <f aca="false">IF(A151="","",IF(J151-I151&gt;=0,"OK",J151-I151))</f>
        <v/>
      </c>
    </row>
    <row r="152" customFormat="false" ht="14.25" hidden="false" customHeight="true" outlineLevel="0" collapsed="false">
      <c r="A152" s="106"/>
      <c r="B152" s="106"/>
      <c r="C152" s="107"/>
      <c r="D152" s="106"/>
      <c r="E152" s="106"/>
      <c r="F152" s="130" t="str">
        <f aca="false">IF(A152="","",MIN(E152/(37.5),1))</f>
        <v/>
      </c>
      <c r="G152" s="108"/>
      <c r="H152" s="106"/>
      <c r="I152" s="107"/>
      <c r="J152" s="131" t="str">
        <f aca="false" t="array" ref="J152:J152">IF(A152="","",ifs(AND(D152=1,H152="Pagas prorrateadas"),2705.41*(F152*G152),AND(D152=1,H152="Pagas no prorrateadas"),2318.93*(F152*G152),AND(D152=2,H152="Pagas prorrateadas"),2246.07*(F152*G152),AND(D152=2,H152="Pagas no prorrateadas"),1925.21*(F152*G152),AND(D152=3,H152="Pagas prorrateadas"),1775.44*(F152*G152),AND(D152=3,H152="Pagas no prorrateadas"),1521.81*(F152*G152),AND(D152=5,H152="Pagas prorrateadas"),1535.9*(F152*G152),AND(D152=5,H152="Pagas no prorrateadas"),1316.49*(F152*G152),AND(D152=7,H152="Pagas prorrateadas"),1493.61*(F152*G152),AND(D152=7,H152="Pagas no prorrateadas"),1280.24*(F152*G152)))</f>
        <v/>
      </c>
      <c r="K152" s="106" t="str">
        <f aca="false">IF(A152="","",IF(J152-I152&gt;=0,"OK",J152-I152))</f>
        <v/>
      </c>
    </row>
    <row r="153" customFormat="false" ht="14.25" hidden="false" customHeight="true" outlineLevel="0" collapsed="false">
      <c r="A153" s="106"/>
      <c r="B153" s="106"/>
      <c r="C153" s="107"/>
      <c r="D153" s="106"/>
      <c r="E153" s="106"/>
      <c r="F153" s="130" t="str">
        <f aca="false">IF(A153="","",MIN(E153/(37.5),1))</f>
        <v/>
      </c>
      <c r="G153" s="108"/>
      <c r="H153" s="106"/>
      <c r="I153" s="107"/>
      <c r="J153" s="131" t="str">
        <f aca="false" t="array" ref="J153:J153">IF(A153="","",ifs(AND(D153=1,H153="Pagas prorrateadas"),2705.41*(F153*G153),AND(D153=1,H153="Pagas no prorrateadas"),2318.93*(F153*G153),AND(D153=2,H153="Pagas prorrateadas"),2246.07*(F153*G153),AND(D153=2,H153="Pagas no prorrateadas"),1925.21*(F153*G153),AND(D153=3,H153="Pagas prorrateadas"),1775.44*(F153*G153),AND(D153=3,H153="Pagas no prorrateadas"),1521.81*(F153*G153),AND(D153=5,H153="Pagas prorrateadas"),1535.9*(F153*G153),AND(D153=5,H153="Pagas no prorrateadas"),1316.49*(F153*G153),AND(D153=7,H153="Pagas prorrateadas"),1493.61*(F153*G153),AND(D153=7,H153="Pagas no prorrateadas"),1280.24*(F153*G153)))</f>
        <v/>
      </c>
      <c r="K153" s="106" t="str">
        <f aca="false">IF(A153="","",IF(J153-I153&gt;=0,"OK",J153-I153))</f>
        <v/>
      </c>
    </row>
    <row r="154" customFormat="false" ht="14.25" hidden="false" customHeight="true" outlineLevel="0" collapsed="false">
      <c r="A154" s="106"/>
      <c r="B154" s="106"/>
      <c r="C154" s="107"/>
      <c r="D154" s="106"/>
      <c r="E154" s="106"/>
      <c r="F154" s="130" t="str">
        <f aca="false">IF(A154="","",MIN(E154/(37.5),1))</f>
        <v/>
      </c>
      <c r="G154" s="108"/>
      <c r="H154" s="106"/>
      <c r="I154" s="107"/>
      <c r="J154" s="131" t="str">
        <f aca="false" t="array" ref="J154:J154">IF(A154="","",ifs(AND(D154=1,H154="Pagas prorrateadas"),2705.41*(F154*G154),AND(D154=1,H154="Pagas no prorrateadas"),2318.93*(F154*G154),AND(D154=2,H154="Pagas prorrateadas"),2246.07*(F154*G154),AND(D154=2,H154="Pagas no prorrateadas"),1925.21*(F154*G154),AND(D154=3,H154="Pagas prorrateadas"),1775.44*(F154*G154),AND(D154=3,H154="Pagas no prorrateadas"),1521.81*(F154*G154),AND(D154=5,H154="Pagas prorrateadas"),1535.9*(F154*G154),AND(D154=5,H154="Pagas no prorrateadas"),1316.49*(F154*G154),AND(D154=7,H154="Pagas prorrateadas"),1493.61*(F154*G154),AND(D154=7,H154="Pagas no prorrateadas"),1280.24*(F154*G154)))</f>
        <v/>
      </c>
      <c r="K154" s="106" t="str">
        <f aca="false">IF(A154="","",IF(J154-I154&gt;=0,"OK",J154-I154))</f>
        <v/>
      </c>
    </row>
    <row r="155" customFormat="false" ht="14.25" hidden="false" customHeight="true" outlineLevel="0" collapsed="false">
      <c r="A155" s="106"/>
      <c r="B155" s="106"/>
      <c r="C155" s="107"/>
      <c r="D155" s="106"/>
      <c r="E155" s="106"/>
      <c r="F155" s="130" t="str">
        <f aca="false">IF(A155="","",MIN(E155/(37.5),1))</f>
        <v/>
      </c>
      <c r="G155" s="108"/>
      <c r="H155" s="106"/>
      <c r="I155" s="107"/>
      <c r="J155" s="131" t="str">
        <f aca="false" t="array" ref="J155:J155">IF(A155="","",ifs(AND(D155=1,H155="Pagas prorrateadas"),2705.41*(F155*G155),AND(D155=1,H155="Pagas no prorrateadas"),2318.93*(F155*G155),AND(D155=2,H155="Pagas prorrateadas"),2246.07*(F155*G155),AND(D155=2,H155="Pagas no prorrateadas"),1925.21*(F155*G155),AND(D155=3,H155="Pagas prorrateadas"),1775.44*(F155*G155),AND(D155=3,H155="Pagas no prorrateadas"),1521.81*(F155*G155),AND(D155=5,H155="Pagas prorrateadas"),1535.9*(F155*G155),AND(D155=5,H155="Pagas no prorrateadas"),1316.49*(F155*G155),AND(D155=7,H155="Pagas prorrateadas"),1493.61*(F155*G155),AND(D155=7,H155="Pagas no prorrateadas"),1280.24*(F155*G155)))</f>
        <v/>
      </c>
      <c r="K155" s="106" t="str">
        <f aca="false">IF(A155="","",IF(J155-I155&gt;=0,"OK",J155-I155))</f>
        <v/>
      </c>
    </row>
    <row r="156" customFormat="false" ht="14.25" hidden="false" customHeight="true" outlineLevel="0" collapsed="false">
      <c r="A156" s="106"/>
      <c r="B156" s="106"/>
      <c r="C156" s="107"/>
      <c r="D156" s="106"/>
      <c r="E156" s="106"/>
      <c r="F156" s="130" t="str">
        <f aca="false">IF(A156="","",MIN(E156/(37.5),1))</f>
        <v/>
      </c>
      <c r="G156" s="108"/>
      <c r="H156" s="106"/>
      <c r="I156" s="107"/>
      <c r="J156" s="131" t="str">
        <f aca="false" t="array" ref="J156:J156">IF(A156="","",ifs(AND(D156=1,H156="Pagas prorrateadas"),2705.41*(F156*G156),AND(D156=1,H156="Pagas no prorrateadas"),2318.93*(F156*G156),AND(D156=2,H156="Pagas prorrateadas"),2246.07*(F156*G156),AND(D156=2,H156="Pagas no prorrateadas"),1925.21*(F156*G156),AND(D156=3,H156="Pagas prorrateadas"),1775.44*(F156*G156),AND(D156=3,H156="Pagas no prorrateadas"),1521.81*(F156*G156),AND(D156=5,H156="Pagas prorrateadas"),1535.9*(F156*G156),AND(D156=5,H156="Pagas no prorrateadas"),1316.49*(F156*G156),AND(D156=7,H156="Pagas prorrateadas"),1493.61*(F156*G156),AND(D156=7,H156="Pagas no prorrateadas"),1280.24*(F156*G156)))</f>
        <v/>
      </c>
      <c r="K156" s="106" t="str">
        <f aca="false">IF(A156="","",IF(J156-I156&gt;=0,"OK",J156-I156))</f>
        <v/>
      </c>
    </row>
    <row r="157" customFormat="false" ht="14.25" hidden="false" customHeight="true" outlineLevel="0" collapsed="false">
      <c r="A157" s="106"/>
      <c r="B157" s="106"/>
      <c r="C157" s="107"/>
      <c r="D157" s="106"/>
      <c r="E157" s="106"/>
      <c r="F157" s="130" t="str">
        <f aca="false">IF(A157="","",MIN(E157/(37.5),1))</f>
        <v/>
      </c>
      <c r="G157" s="108"/>
      <c r="H157" s="106"/>
      <c r="I157" s="107"/>
      <c r="J157" s="131" t="str">
        <f aca="false" t="array" ref="J157:J157">IF(A157="","",ifs(AND(D157=1,H157="Pagas prorrateadas"),2705.41*(F157*G157),AND(D157=1,H157="Pagas no prorrateadas"),2318.93*(F157*G157),AND(D157=2,H157="Pagas prorrateadas"),2246.07*(F157*G157),AND(D157=2,H157="Pagas no prorrateadas"),1925.21*(F157*G157),AND(D157=3,H157="Pagas prorrateadas"),1775.44*(F157*G157),AND(D157=3,H157="Pagas no prorrateadas"),1521.81*(F157*G157),AND(D157=5,H157="Pagas prorrateadas"),1535.9*(F157*G157),AND(D157=5,H157="Pagas no prorrateadas"),1316.49*(F157*G157),AND(D157=7,H157="Pagas prorrateadas"),1493.61*(F157*G157),AND(D157=7,H157="Pagas no prorrateadas"),1280.24*(F157*G157)))</f>
        <v/>
      </c>
      <c r="K157" s="106" t="str">
        <f aca="false">IF(A157="","",IF(J157-I157&gt;=0,"OK",J157-I157))</f>
        <v/>
      </c>
    </row>
    <row r="158" customFormat="false" ht="14.25" hidden="false" customHeight="true" outlineLevel="0" collapsed="false">
      <c r="A158" s="106"/>
      <c r="B158" s="106"/>
      <c r="C158" s="107"/>
      <c r="D158" s="106"/>
      <c r="E158" s="106"/>
      <c r="F158" s="130" t="str">
        <f aca="false">IF(A158="","",MIN(E158/(37.5),1))</f>
        <v/>
      </c>
      <c r="G158" s="108"/>
      <c r="H158" s="106"/>
      <c r="I158" s="107"/>
      <c r="J158" s="131" t="str">
        <f aca="false" t="array" ref="J158:J158">IF(A158="","",ifs(AND(D158=1,H158="Pagas prorrateadas"),2705.41*(F158*G158),AND(D158=1,H158="Pagas no prorrateadas"),2318.93*(F158*G158),AND(D158=2,H158="Pagas prorrateadas"),2246.07*(F158*G158),AND(D158=2,H158="Pagas no prorrateadas"),1925.21*(F158*G158),AND(D158=3,H158="Pagas prorrateadas"),1775.44*(F158*G158),AND(D158=3,H158="Pagas no prorrateadas"),1521.81*(F158*G158),AND(D158=5,H158="Pagas prorrateadas"),1535.9*(F158*G158),AND(D158=5,H158="Pagas no prorrateadas"),1316.49*(F158*G158),AND(D158=7,H158="Pagas prorrateadas"),1493.61*(F158*G158),AND(D158=7,H158="Pagas no prorrateadas"),1280.24*(F158*G158)))</f>
        <v/>
      </c>
      <c r="K158" s="106" t="str">
        <f aca="false">IF(A158="","",IF(J158-I158&gt;=0,"OK",J158-I158))</f>
        <v/>
      </c>
    </row>
    <row r="159" customFormat="false" ht="14.25" hidden="false" customHeight="true" outlineLevel="0" collapsed="false">
      <c r="A159" s="106"/>
      <c r="B159" s="106"/>
      <c r="C159" s="107"/>
      <c r="D159" s="106"/>
      <c r="E159" s="106"/>
      <c r="F159" s="130" t="str">
        <f aca="false">IF(A159="","",MIN(E159/(37.5),1))</f>
        <v/>
      </c>
      <c r="G159" s="108"/>
      <c r="H159" s="106"/>
      <c r="I159" s="107"/>
      <c r="J159" s="131" t="str">
        <f aca="false" t="array" ref="J159:J159">IF(A159="","",ifs(AND(D159=1,H159="Pagas prorrateadas"),2705.41*(F159*G159),AND(D159=1,H159="Pagas no prorrateadas"),2318.93*(F159*G159),AND(D159=2,H159="Pagas prorrateadas"),2246.07*(F159*G159),AND(D159=2,H159="Pagas no prorrateadas"),1925.21*(F159*G159),AND(D159=3,H159="Pagas prorrateadas"),1775.44*(F159*G159),AND(D159=3,H159="Pagas no prorrateadas"),1521.81*(F159*G159),AND(D159=5,H159="Pagas prorrateadas"),1535.9*(F159*G159),AND(D159=5,H159="Pagas no prorrateadas"),1316.49*(F159*G159),AND(D159=7,H159="Pagas prorrateadas"),1493.61*(F159*G159),AND(D159=7,H159="Pagas no prorrateadas"),1280.24*(F159*G159)))</f>
        <v/>
      </c>
      <c r="K159" s="106" t="str">
        <f aca="false">IF(A159="","",IF(J159-I159&gt;=0,"OK",J159-I159))</f>
        <v/>
      </c>
    </row>
    <row r="160" customFormat="false" ht="14.25" hidden="false" customHeight="true" outlineLevel="0" collapsed="false">
      <c r="A160" s="106"/>
      <c r="B160" s="106"/>
      <c r="C160" s="107"/>
      <c r="D160" s="106"/>
      <c r="E160" s="106"/>
      <c r="F160" s="130" t="str">
        <f aca="false">IF(A160="","",MIN(E160/(37.5),1))</f>
        <v/>
      </c>
      <c r="G160" s="108"/>
      <c r="H160" s="106"/>
      <c r="I160" s="107"/>
      <c r="J160" s="131" t="str">
        <f aca="false" t="array" ref="J160:J160">IF(A160="","",ifs(AND(D160=1,H160="Pagas prorrateadas"),2705.41*(F160*G160),AND(D160=1,H160="Pagas no prorrateadas"),2318.93*(F160*G160),AND(D160=2,H160="Pagas prorrateadas"),2246.07*(F160*G160),AND(D160=2,H160="Pagas no prorrateadas"),1925.21*(F160*G160),AND(D160=3,H160="Pagas prorrateadas"),1775.44*(F160*G160),AND(D160=3,H160="Pagas no prorrateadas"),1521.81*(F160*G160),AND(D160=5,H160="Pagas prorrateadas"),1535.9*(F160*G160),AND(D160=5,H160="Pagas no prorrateadas"),1316.49*(F160*G160),AND(D160=7,H160="Pagas prorrateadas"),1493.61*(F160*G160),AND(D160=7,H160="Pagas no prorrateadas"),1280.24*(F160*G160)))</f>
        <v/>
      </c>
      <c r="K160" s="106" t="str">
        <f aca="false">IF(A160="","",IF(J160-I160&gt;=0,"OK",J160-I160))</f>
        <v/>
      </c>
    </row>
    <row r="161" customFormat="false" ht="14.25" hidden="false" customHeight="true" outlineLevel="0" collapsed="false">
      <c r="A161" s="106"/>
      <c r="B161" s="106"/>
      <c r="C161" s="107"/>
      <c r="D161" s="106"/>
      <c r="E161" s="106"/>
      <c r="F161" s="130" t="str">
        <f aca="false">IF(A161="","",MIN(E161/(37.5),1))</f>
        <v/>
      </c>
      <c r="G161" s="108"/>
      <c r="H161" s="106"/>
      <c r="I161" s="107"/>
      <c r="J161" s="131" t="str">
        <f aca="false" t="array" ref="J161:J161">IF(A161="","",ifs(AND(D161=1,H161="Pagas prorrateadas"),2705.41*(F161*G161),AND(D161=1,H161="Pagas no prorrateadas"),2318.93*(F161*G161),AND(D161=2,H161="Pagas prorrateadas"),2246.07*(F161*G161),AND(D161=2,H161="Pagas no prorrateadas"),1925.21*(F161*G161),AND(D161=3,H161="Pagas prorrateadas"),1775.44*(F161*G161),AND(D161=3,H161="Pagas no prorrateadas"),1521.81*(F161*G161),AND(D161=5,H161="Pagas prorrateadas"),1535.9*(F161*G161),AND(D161=5,H161="Pagas no prorrateadas"),1316.49*(F161*G161),AND(D161=7,H161="Pagas prorrateadas"),1493.61*(F161*G161),AND(D161=7,H161="Pagas no prorrateadas"),1280.24*(F161*G161)))</f>
        <v/>
      </c>
      <c r="K161" s="106" t="str">
        <f aca="false">IF(A161="","",IF(J161-I161&gt;=0,"OK",J161-I161))</f>
        <v/>
      </c>
    </row>
    <row r="162" customFormat="false" ht="14.25" hidden="false" customHeight="true" outlineLevel="0" collapsed="false">
      <c r="A162" s="106"/>
      <c r="B162" s="106"/>
      <c r="C162" s="107"/>
      <c r="D162" s="106"/>
      <c r="E162" s="106"/>
      <c r="F162" s="130" t="str">
        <f aca="false">IF(A162="","",MIN(E162/(37.5),1))</f>
        <v/>
      </c>
      <c r="G162" s="108"/>
      <c r="H162" s="106"/>
      <c r="I162" s="107"/>
      <c r="J162" s="131" t="str">
        <f aca="false" t="array" ref="J162:J162">IF(A162="","",ifs(AND(D162=1,H162="Pagas prorrateadas"),2705.41*(F162*G162),AND(D162=1,H162="Pagas no prorrateadas"),2318.93*(F162*G162),AND(D162=2,H162="Pagas prorrateadas"),2246.07*(F162*G162),AND(D162=2,H162="Pagas no prorrateadas"),1925.21*(F162*G162),AND(D162=3,H162="Pagas prorrateadas"),1775.44*(F162*G162),AND(D162=3,H162="Pagas no prorrateadas"),1521.81*(F162*G162),AND(D162=5,H162="Pagas prorrateadas"),1535.9*(F162*G162),AND(D162=5,H162="Pagas no prorrateadas"),1316.49*(F162*G162),AND(D162=7,H162="Pagas prorrateadas"),1493.61*(F162*G162),AND(D162=7,H162="Pagas no prorrateadas"),1280.24*(F162*G162)))</f>
        <v/>
      </c>
      <c r="K162" s="106" t="str">
        <f aca="false">IF(A162="","",IF(J162-I162&gt;=0,"OK",J162-I162))</f>
        <v/>
      </c>
    </row>
    <row r="163" customFormat="false" ht="14.25" hidden="false" customHeight="true" outlineLevel="0" collapsed="false">
      <c r="A163" s="106"/>
      <c r="B163" s="106"/>
      <c r="C163" s="107"/>
      <c r="D163" s="106"/>
      <c r="E163" s="106"/>
      <c r="F163" s="130" t="str">
        <f aca="false">IF(A163="","",MIN(E163/(37.5),1))</f>
        <v/>
      </c>
      <c r="G163" s="108"/>
      <c r="H163" s="106"/>
      <c r="I163" s="107"/>
      <c r="J163" s="131" t="str">
        <f aca="false" t="array" ref="J163:J163">IF(A163="","",ifs(AND(D163=1,H163="Pagas prorrateadas"),2705.41*(F163*G163),AND(D163=1,H163="Pagas no prorrateadas"),2318.93*(F163*G163),AND(D163=2,H163="Pagas prorrateadas"),2246.07*(F163*G163),AND(D163=2,H163="Pagas no prorrateadas"),1925.21*(F163*G163),AND(D163=3,H163="Pagas prorrateadas"),1775.44*(F163*G163),AND(D163=3,H163="Pagas no prorrateadas"),1521.81*(F163*G163),AND(D163=5,H163="Pagas prorrateadas"),1535.9*(F163*G163),AND(D163=5,H163="Pagas no prorrateadas"),1316.49*(F163*G163),AND(D163=7,H163="Pagas prorrateadas"),1493.61*(F163*G163),AND(D163=7,H163="Pagas no prorrateadas"),1280.24*(F163*G163)))</f>
        <v/>
      </c>
      <c r="K163" s="106" t="str">
        <f aca="false">IF(A163="","",IF(J163-I163&gt;=0,"OK",J163-I163))</f>
        <v/>
      </c>
    </row>
    <row r="164" customFormat="false" ht="14.25" hidden="false" customHeight="true" outlineLevel="0" collapsed="false">
      <c r="A164" s="106"/>
      <c r="B164" s="106"/>
      <c r="C164" s="107"/>
      <c r="D164" s="106"/>
      <c r="E164" s="106"/>
      <c r="F164" s="130" t="str">
        <f aca="false">IF(A164="","",MIN(E164/(37.5),1))</f>
        <v/>
      </c>
      <c r="G164" s="108"/>
      <c r="H164" s="106"/>
      <c r="I164" s="107"/>
      <c r="J164" s="131" t="str">
        <f aca="false" t="array" ref="J164:J164">IF(A164="","",ifs(AND(D164=1,H164="Pagas prorrateadas"),2705.41*(F164*G164),AND(D164=1,H164="Pagas no prorrateadas"),2318.93*(F164*G164),AND(D164=2,H164="Pagas prorrateadas"),2246.07*(F164*G164),AND(D164=2,H164="Pagas no prorrateadas"),1925.21*(F164*G164),AND(D164=3,H164="Pagas prorrateadas"),1775.44*(F164*G164),AND(D164=3,H164="Pagas no prorrateadas"),1521.81*(F164*G164),AND(D164=5,H164="Pagas prorrateadas"),1535.9*(F164*G164),AND(D164=5,H164="Pagas no prorrateadas"),1316.49*(F164*G164),AND(D164=7,H164="Pagas prorrateadas"),1493.61*(F164*G164),AND(D164=7,H164="Pagas no prorrateadas"),1280.24*(F164*G164)))</f>
        <v/>
      </c>
      <c r="K164" s="106" t="str">
        <f aca="false">IF(A164="","",IF(J164-I164&gt;=0,"OK",J164-I164))</f>
        <v/>
      </c>
    </row>
    <row r="165" customFormat="false" ht="14.25" hidden="false" customHeight="true" outlineLevel="0" collapsed="false">
      <c r="A165" s="106"/>
      <c r="B165" s="106"/>
      <c r="C165" s="107"/>
      <c r="D165" s="106"/>
      <c r="E165" s="106"/>
      <c r="F165" s="130" t="str">
        <f aca="false">IF(A165="","",MIN(E165/(37.5),1))</f>
        <v/>
      </c>
      <c r="G165" s="108"/>
      <c r="H165" s="106"/>
      <c r="I165" s="107"/>
      <c r="J165" s="131" t="str">
        <f aca="false" t="array" ref="J165:J165">IF(A165="","",ifs(AND(D165=1,H165="Pagas prorrateadas"),2705.41*(F165*G165),AND(D165=1,H165="Pagas no prorrateadas"),2318.93*(F165*G165),AND(D165=2,H165="Pagas prorrateadas"),2246.07*(F165*G165),AND(D165=2,H165="Pagas no prorrateadas"),1925.21*(F165*G165),AND(D165=3,H165="Pagas prorrateadas"),1775.44*(F165*G165),AND(D165=3,H165="Pagas no prorrateadas"),1521.81*(F165*G165),AND(D165=5,H165="Pagas prorrateadas"),1535.9*(F165*G165),AND(D165=5,H165="Pagas no prorrateadas"),1316.49*(F165*G165),AND(D165=7,H165="Pagas prorrateadas"),1493.61*(F165*G165),AND(D165=7,H165="Pagas no prorrateadas"),1280.24*(F165*G165)))</f>
        <v/>
      </c>
      <c r="K165" s="106" t="str">
        <f aca="false">IF(A165="","",IF(J165-I165&gt;=0,"OK",J165-I165))</f>
        <v/>
      </c>
    </row>
    <row r="166" customFormat="false" ht="14.25" hidden="false" customHeight="true" outlineLevel="0" collapsed="false">
      <c r="A166" s="106"/>
      <c r="B166" s="106"/>
      <c r="C166" s="107"/>
      <c r="D166" s="106"/>
      <c r="E166" s="106"/>
      <c r="F166" s="130" t="str">
        <f aca="false">IF(A166="","",MIN(E166/(37.5),1))</f>
        <v/>
      </c>
      <c r="G166" s="108"/>
      <c r="H166" s="106"/>
      <c r="I166" s="107"/>
      <c r="J166" s="131" t="str">
        <f aca="false" t="array" ref="J166:J166">IF(A166="","",ifs(AND(D166=1,H166="Pagas prorrateadas"),2705.41*(F166*G166),AND(D166=1,H166="Pagas no prorrateadas"),2318.93*(F166*G166),AND(D166=2,H166="Pagas prorrateadas"),2246.07*(F166*G166),AND(D166=2,H166="Pagas no prorrateadas"),1925.21*(F166*G166),AND(D166=3,H166="Pagas prorrateadas"),1775.44*(F166*G166),AND(D166=3,H166="Pagas no prorrateadas"),1521.81*(F166*G166),AND(D166=5,H166="Pagas prorrateadas"),1535.9*(F166*G166),AND(D166=5,H166="Pagas no prorrateadas"),1316.49*(F166*G166),AND(D166=7,H166="Pagas prorrateadas"),1493.61*(F166*G166),AND(D166=7,H166="Pagas no prorrateadas"),1280.24*(F166*G166)))</f>
        <v/>
      </c>
      <c r="K166" s="106" t="str">
        <f aca="false">IF(A166="","",IF(J166-I166&gt;=0,"OK",J166-I166))</f>
        <v/>
      </c>
    </row>
    <row r="167" customFormat="false" ht="14.25" hidden="false" customHeight="true" outlineLevel="0" collapsed="false">
      <c r="A167" s="106"/>
      <c r="B167" s="106"/>
      <c r="C167" s="107"/>
      <c r="D167" s="106"/>
      <c r="E167" s="106"/>
      <c r="F167" s="130" t="str">
        <f aca="false">IF(A167="","",MIN(E167/(37.5),1))</f>
        <v/>
      </c>
      <c r="G167" s="108"/>
      <c r="H167" s="106"/>
      <c r="I167" s="107"/>
      <c r="J167" s="131" t="str">
        <f aca="false" t="array" ref="J167:J167">IF(A167="","",ifs(AND(D167=1,H167="Pagas prorrateadas"),2705.41*(F167*G167),AND(D167=1,H167="Pagas no prorrateadas"),2318.93*(F167*G167),AND(D167=2,H167="Pagas prorrateadas"),2246.07*(F167*G167),AND(D167=2,H167="Pagas no prorrateadas"),1925.21*(F167*G167),AND(D167=3,H167="Pagas prorrateadas"),1775.44*(F167*G167),AND(D167=3,H167="Pagas no prorrateadas"),1521.81*(F167*G167),AND(D167=5,H167="Pagas prorrateadas"),1535.9*(F167*G167),AND(D167=5,H167="Pagas no prorrateadas"),1316.49*(F167*G167),AND(D167=7,H167="Pagas prorrateadas"),1493.61*(F167*G167),AND(D167=7,H167="Pagas no prorrateadas"),1280.24*(F167*G167)))</f>
        <v/>
      </c>
      <c r="K167" s="106" t="str">
        <f aca="false">IF(A167="","",IF(J167-I167&gt;=0,"OK",J167-I167))</f>
        <v/>
      </c>
    </row>
    <row r="168" customFormat="false" ht="14.25" hidden="false" customHeight="true" outlineLevel="0" collapsed="false">
      <c r="A168" s="106"/>
      <c r="B168" s="106"/>
      <c r="C168" s="107"/>
      <c r="D168" s="106"/>
      <c r="E168" s="106"/>
      <c r="F168" s="130" t="str">
        <f aca="false">IF(A168="","",MIN(E168/(37.5),1))</f>
        <v/>
      </c>
      <c r="G168" s="108"/>
      <c r="H168" s="106"/>
      <c r="I168" s="107"/>
      <c r="J168" s="131" t="str">
        <f aca="false" t="array" ref="J168:J168">IF(A168="","",ifs(AND(D168=1,H168="Pagas prorrateadas"),2705.41*(F168*G168),AND(D168=1,H168="Pagas no prorrateadas"),2318.93*(F168*G168),AND(D168=2,H168="Pagas prorrateadas"),2246.07*(F168*G168),AND(D168=2,H168="Pagas no prorrateadas"),1925.21*(F168*G168),AND(D168=3,H168="Pagas prorrateadas"),1775.44*(F168*G168),AND(D168=3,H168="Pagas no prorrateadas"),1521.81*(F168*G168),AND(D168=5,H168="Pagas prorrateadas"),1535.9*(F168*G168),AND(D168=5,H168="Pagas no prorrateadas"),1316.49*(F168*G168),AND(D168=7,H168="Pagas prorrateadas"),1493.61*(F168*G168),AND(D168=7,H168="Pagas no prorrateadas"),1280.24*(F168*G168)))</f>
        <v/>
      </c>
      <c r="K168" s="106" t="str">
        <f aca="false">IF(A168="","",IF(J168-I168&gt;=0,"OK",J168-I168))</f>
        <v/>
      </c>
    </row>
    <row r="169" customFormat="false" ht="14.25" hidden="false" customHeight="true" outlineLevel="0" collapsed="false">
      <c r="A169" s="106"/>
      <c r="B169" s="106"/>
      <c r="C169" s="107"/>
      <c r="D169" s="106"/>
      <c r="E169" s="106"/>
      <c r="F169" s="130" t="str">
        <f aca="false">IF(A169="","",MIN(E169/(37.5),1))</f>
        <v/>
      </c>
      <c r="G169" s="108"/>
      <c r="H169" s="106"/>
      <c r="I169" s="107"/>
      <c r="J169" s="131" t="str">
        <f aca="false" t="array" ref="J169:J169">IF(A169="","",ifs(AND(D169=1,H169="Pagas prorrateadas"),2705.41*(F169*G169),AND(D169=1,H169="Pagas no prorrateadas"),2318.93*(F169*G169),AND(D169=2,H169="Pagas prorrateadas"),2246.07*(F169*G169),AND(D169=2,H169="Pagas no prorrateadas"),1925.21*(F169*G169),AND(D169=3,H169="Pagas prorrateadas"),1775.44*(F169*G169),AND(D169=3,H169="Pagas no prorrateadas"),1521.81*(F169*G169),AND(D169=5,H169="Pagas prorrateadas"),1535.9*(F169*G169),AND(D169=5,H169="Pagas no prorrateadas"),1316.49*(F169*G169),AND(D169=7,H169="Pagas prorrateadas"),1493.61*(F169*G169),AND(D169=7,H169="Pagas no prorrateadas"),1280.24*(F169*G169)))</f>
        <v/>
      </c>
      <c r="K169" s="106" t="str">
        <f aca="false">IF(A169="","",IF(J169-I169&gt;=0,"OK",J169-I169))</f>
        <v/>
      </c>
    </row>
    <row r="170" customFormat="false" ht="14.25" hidden="false" customHeight="true" outlineLevel="0" collapsed="false">
      <c r="A170" s="106"/>
      <c r="B170" s="106"/>
      <c r="C170" s="107"/>
      <c r="D170" s="106"/>
      <c r="E170" s="106"/>
      <c r="F170" s="130" t="str">
        <f aca="false">IF(A170="","",MIN(E170/(37.5),1))</f>
        <v/>
      </c>
      <c r="G170" s="108"/>
      <c r="H170" s="106"/>
      <c r="I170" s="107"/>
      <c r="J170" s="131" t="str">
        <f aca="false" t="array" ref="J170:J170">IF(A170="","",ifs(AND(D170=1,H170="Pagas prorrateadas"),2705.41*(F170*G170),AND(D170=1,H170="Pagas no prorrateadas"),2318.93*(F170*G170),AND(D170=2,H170="Pagas prorrateadas"),2246.07*(F170*G170),AND(D170=2,H170="Pagas no prorrateadas"),1925.21*(F170*G170),AND(D170=3,H170="Pagas prorrateadas"),1775.44*(F170*G170),AND(D170=3,H170="Pagas no prorrateadas"),1521.81*(F170*G170),AND(D170=5,H170="Pagas prorrateadas"),1535.9*(F170*G170),AND(D170=5,H170="Pagas no prorrateadas"),1316.49*(F170*G170),AND(D170=7,H170="Pagas prorrateadas"),1493.61*(F170*G170),AND(D170=7,H170="Pagas no prorrateadas"),1280.24*(F170*G170)))</f>
        <v/>
      </c>
      <c r="K170" s="106" t="str">
        <f aca="false">IF(A170="","",IF(J170-I170&gt;=0,"OK",J170-I170))</f>
        <v/>
      </c>
    </row>
    <row r="171" customFormat="false" ht="14.25" hidden="false" customHeight="true" outlineLevel="0" collapsed="false">
      <c r="A171" s="106"/>
      <c r="B171" s="106"/>
      <c r="C171" s="107"/>
      <c r="D171" s="106"/>
      <c r="E171" s="106"/>
      <c r="F171" s="130" t="str">
        <f aca="false">IF(A171="","",MIN(E171/(37.5),1))</f>
        <v/>
      </c>
      <c r="G171" s="108"/>
      <c r="H171" s="106"/>
      <c r="I171" s="107"/>
      <c r="J171" s="131" t="str">
        <f aca="false" t="array" ref="J171:J171">IF(A171="","",ifs(AND(D171=1,H171="Pagas prorrateadas"),2705.41*(F171*G171),AND(D171=1,H171="Pagas no prorrateadas"),2318.93*(F171*G171),AND(D171=2,H171="Pagas prorrateadas"),2246.07*(F171*G171),AND(D171=2,H171="Pagas no prorrateadas"),1925.21*(F171*G171),AND(D171=3,H171="Pagas prorrateadas"),1775.44*(F171*G171),AND(D171=3,H171="Pagas no prorrateadas"),1521.81*(F171*G171),AND(D171=5,H171="Pagas prorrateadas"),1535.9*(F171*G171),AND(D171=5,H171="Pagas no prorrateadas"),1316.49*(F171*G171),AND(D171=7,H171="Pagas prorrateadas"),1493.61*(F171*G171),AND(D171=7,H171="Pagas no prorrateadas"),1280.24*(F171*G171)))</f>
        <v/>
      </c>
      <c r="K171" s="106" t="str">
        <f aca="false">IF(A171="","",IF(J171-I171&gt;=0,"OK",J171-I171))</f>
        <v/>
      </c>
    </row>
    <row r="172" customFormat="false" ht="14.25" hidden="false" customHeight="true" outlineLevel="0" collapsed="false">
      <c r="A172" s="106"/>
      <c r="B172" s="106"/>
      <c r="C172" s="107"/>
      <c r="D172" s="106"/>
      <c r="E172" s="106"/>
      <c r="F172" s="130" t="str">
        <f aca="false">IF(A172="","",MIN(E172/(37.5),1))</f>
        <v/>
      </c>
      <c r="G172" s="108"/>
      <c r="H172" s="106"/>
      <c r="I172" s="107"/>
      <c r="J172" s="131" t="str">
        <f aca="false" t="array" ref="J172:J172">IF(A172="","",ifs(AND(D172=1,H172="Pagas prorrateadas"),2705.41*(F172*G172),AND(D172=1,H172="Pagas no prorrateadas"),2318.93*(F172*G172),AND(D172=2,H172="Pagas prorrateadas"),2246.07*(F172*G172),AND(D172=2,H172="Pagas no prorrateadas"),1925.21*(F172*G172),AND(D172=3,H172="Pagas prorrateadas"),1775.44*(F172*G172),AND(D172=3,H172="Pagas no prorrateadas"),1521.81*(F172*G172),AND(D172=5,H172="Pagas prorrateadas"),1535.9*(F172*G172),AND(D172=5,H172="Pagas no prorrateadas"),1316.49*(F172*G172),AND(D172=7,H172="Pagas prorrateadas"),1493.61*(F172*G172),AND(D172=7,H172="Pagas no prorrateadas"),1280.24*(F172*G172)))</f>
        <v/>
      </c>
      <c r="K172" s="106" t="str">
        <f aca="false">IF(A172="","",IF(J172-I172&gt;=0,"OK",J172-I172))</f>
        <v/>
      </c>
    </row>
    <row r="173" customFormat="false" ht="14.25" hidden="false" customHeight="true" outlineLevel="0" collapsed="false">
      <c r="A173" s="106"/>
      <c r="B173" s="106"/>
      <c r="C173" s="107"/>
      <c r="D173" s="106"/>
      <c r="E173" s="106"/>
      <c r="F173" s="130" t="str">
        <f aca="false">IF(A173="","",MIN(E173/(37.5),1))</f>
        <v/>
      </c>
      <c r="G173" s="108"/>
      <c r="H173" s="106"/>
      <c r="I173" s="107"/>
      <c r="J173" s="131" t="str">
        <f aca="false" t="array" ref="J173:J173">IF(A173="","",ifs(AND(D173=1,H173="Pagas prorrateadas"),2705.41*(F173*G173),AND(D173=1,H173="Pagas no prorrateadas"),2318.93*(F173*G173),AND(D173=2,H173="Pagas prorrateadas"),2246.07*(F173*G173),AND(D173=2,H173="Pagas no prorrateadas"),1925.21*(F173*G173),AND(D173=3,H173="Pagas prorrateadas"),1775.44*(F173*G173),AND(D173=3,H173="Pagas no prorrateadas"),1521.81*(F173*G173),AND(D173=5,H173="Pagas prorrateadas"),1535.9*(F173*G173),AND(D173=5,H173="Pagas no prorrateadas"),1316.49*(F173*G173),AND(D173=7,H173="Pagas prorrateadas"),1493.61*(F173*G173),AND(D173=7,H173="Pagas no prorrateadas"),1280.24*(F173*G173)))</f>
        <v/>
      </c>
      <c r="K173" s="106" t="str">
        <f aca="false">IF(A173="","",IF(J173-I173&gt;=0,"OK",J173-I173))</f>
        <v/>
      </c>
    </row>
    <row r="174" customFormat="false" ht="14.25" hidden="false" customHeight="true" outlineLevel="0" collapsed="false">
      <c r="A174" s="106"/>
      <c r="B174" s="106"/>
      <c r="C174" s="107"/>
      <c r="D174" s="106"/>
      <c r="E174" s="106"/>
      <c r="F174" s="130" t="str">
        <f aca="false">IF(A174="","",MIN(E174/(37.5),1))</f>
        <v/>
      </c>
      <c r="G174" s="108"/>
      <c r="H174" s="106"/>
      <c r="I174" s="107"/>
      <c r="J174" s="131" t="str">
        <f aca="false" t="array" ref="J174:J174">IF(A174="","",ifs(AND(D174=1,H174="Pagas prorrateadas"),2705.41*(F174*G174),AND(D174=1,H174="Pagas no prorrateadas"),2318.93*(F174*G174),AND(D174=2,H174="Pagas prorrateadas"),2246.07*(F174*G174),AND(D174=2,H174="Pagas no prorrateadas"),1925.21*(F174*G174),AND(D174=3,H174="Pagas prorrateadas"),1775.44*(F174*G174),AND(D174=3,H174="Pagas no prorrateadas"),1521.81*(F174*G174),AND(D174=5,H174="Pagas prorrateadas"),1535.9*(F174*G174),AND(D174=5,H174="Pagas no prorrateadas"),1316.49*(F174*G174),AND(D174=7,H174="Pagas prorrateadas"),1493.61*(F174*G174),AND(D174=7,H174="Pagas no prorrateadas"),1280.24*(F174*G174)))</f>
        <v/>
      </c>
      <c r="K174" s="106" t="str">
        <f aca="false">IF(A174="","",IF(J174-I174&gt;=0,"OK",J174-I174))</f>
        <v/>
      </c>
    </row>
    <row r="175" customFormat="false" ht="14.25" hidden="false" customHeight="true" outlineLevel="0" collapsed="false">
      <c r="A175" s="106"/>
      <c r="B175" s="106"/>
      <c r="C175" s="107"/>
      <c r="D175" s="106"/>
      <c r="E175" s="106"/>
      <c r="F175" s="130" t="str">
        <f aca="false">IF(A175="","",MIN(E175/(37.5),1))</f>
        <v/>
      </c>
      <c r="G175" s="108"/>
      <c r="H175" s="106"/>
      <c r="I175" s="107"/>
      <c r="J175" s="131" t="str">
        <f aca="false" t="array" ref="J175:J175">IF(A175="","",ifs(AND(D175=1,H175="Pagas prorrateadas"),2705.41*(F175*G175),AND(D175=1,H175="Pagas no prorrateadas"),2318.93*(F175*G175),AND(D175=2,H175="Pagas prorrateadas"),2246.07*(F175*G175),AND(D175=2,H175="Pagas no prorrateadas"),1925.21*(F175*G175),AND(D175=3,H175="Pagas prorrateadas"),1775.44*(F175*G175),AND(D175=3,H175="Pagas no prorrateadas"),1521.81*(F175*G175),AND(D175=5,H175="Pagas prorrateadas"),1535.9*(F175*G175),AND(D175=5,H175="Pagas no prorrateadas"),1316.49*(F175*G175),AND(D175=7,H175="Pagas prorrateadas"),1493.61*(F175*G175),AND(D175=7,H175="Pagas no prorrateadas"),1280.24*(F175*G175)))</f>
        <v/>
      </c>
      <c r="K175" s="106" t="str">
        <f aca="false">IF(A175="","",IF(J175-I175&gt;=0,"OK",J175-I175))</f>
        <v/>
      </c>
    </row>
    <row r="176" customFormat="false" ht="14.25" hidden="false" customHeight="true" outlineLevel="0" collapsed="false">
      <c r="A176" s="106"/>
      <c r="B176" s="106"/>
      <c r="C176" s="107"/>
      <c r="D176" s="106"/>
      <c r="E176" s="106"/>
      <c r="F176" s="130" t="str">
        <f aca="false">IF(A176="","",MIN(E176/(37.5),1))</f>
        <v/>
      </c>
      <c r="G176" s="108"/>
      <c r="H176" s="106"/>
      <c r="I176" s="107"/>
      <c r="J176" s="131" t="str">
        <f aca="false" t="array" ref="J176:J176">IF(A176="","",ifs(AND(D176=1,H176="Pagas prorrateadas"),2705.41*(F176*G176),AND(D176=1,H176="Pagas no prorrateadas"),2318.93*(F176*G176),AND(D176=2,H176="Pagas prorrateadas"),2246.07*(F176*G176),AND(D176=2,H176="Pagas no prorrateadas"),1925.21*(F176*G176),AND(D176=3,H176="Pagas prorrateadas"),1775.44*(F176*G176),AND(D176=3,H176="Pagas no prorrateadas"),1521.81*(F176*G176),AND(D176=5,H176="Pagas prorrateadas"),1535.9*(F176*G176),AND(D176=5,H176="Pagas no prorrateadas"),1316.49*(F176*G176),AND(D176=7,H176="Pagas prorrateadas"),1493.61*(F176*G176),AND(D176=7,H176="Pagas no prorrateadas"),1280.24*(F176*G176)))</f>
        <v/>
      </c>
      <c r="K176" s="106" t="str">
        <f aca="false">IF(A176="","",IF(J176-I176&gt;=0,"OK",J176-I176))</f>
        <v/>
      </c>
    </row>
    <row r="177" customFormat="false" ht="14.25" hidden="false" customHeight="true" outlineLevel="0" collapsed="false">
      <c r="A177" s="106"/>
      <c r="B177" s="106"/>
      <c r="C177" s="107"/>
      <c r="D177" s="106"/>
      <c r="E177" s="106"/>
      <c r="F177" s="130" t="str">
        <f aca="false">IF(A177="","",MIN(E177/(37.5),1))</f>
        <v/>
      </c>
      <c r="G177" s="108"/>
      <c r="H177" s="106"/>
      <c r="I177" s="107"/>
      <c r="J177" s="131" t="str">
        <f aca="false" t="array" ref="J177:J177">IF(A177="","",ifs(AND(D177=1,H177="Pagas prorrateadas"),2705.41*(F177*G177),AND(D177=1,H177="Pagas no prorrateadas"),2318.93*(F177*G177),AND(D177=2,H177="Pagas prorrateadas"),2246.07*(F177*G177),AND(D177=2,H177="Pagas no prorrateadas"),1925.21*(F177*G177),AND(D177=3,H177="Pagas prorrateadas"),1775.44*(F177*G177),AND(D177=3,H177="Pagas no prorrateadas"),1521.81*(F177*G177),AND(D177=5,H177="Pagas prorrateadas"),1535.9*(F177*G177),AND(D177=5,H177="Pagas no prorrateadas"),1316.49*(F177*G177),AND(D177=7,H177="Pagas prorrateadas"),1493.61*(F177*G177),AND(D177=7,H177="Pagas no prorrateadas"),1280.24*(F177*G177)))</f>
        <v/>
      </c>
      <c r="K177" s="106" t="str">
        <f aca="false">IF(A177="","",IF(J177-I177&gt;=0,"OK",J177-I177))</f>
        <v/>
      </c>
    </row>
    <row r="178" customFormat="false" ht="14.25" hidden="false" customHeight="true" outlineLevel="0" collapsed="false">
      <c r="A178" s="106"/>
      <c r="B178" s="106"/>
      <c r="C178" s="107"/>
      <c r="D178" s="106"/>
      <c r="E178" s="106"/>
      <c r="F178" s="130" t="str">
        <f aca="false">IF(A178="","",MIN(E178/(37.5),1))</f>
        <v/>
      </c>
      <c r="G178" s="108"/>
      <c r="H178" s="106"/>
      <c r="I178" s="107"/>
      <c r="J178" s="131" t="str">
        <f aca="false" t="array" ref="J178:J178">IF(A178="","",ifs(AND(D178=1,H178="Pagas prorrateadas"),2705.41*(F178*G178),AND(D178=1,H178="Pagas no prorrateadas"),2318.93*(F178*G178),AND(D178=2,H178="Pagas prorrateadas"),2246.07*(F178*G178),AND(D178=2,H178="Pagas no prorrateadas"),1925.21*(F178*G178),AND(D178=3,H178="Pagas prorrateadas"),1775.44*(F178*G178),AND(D178=3,H178="Pagas no prorrateadas"),1521.81*(F178*G178),AND(D178=5,H178="Pagas prorrateadas"),1535.9*(F178*G178),AND(D178=5,H178="Pagas no prorrateadas"),1316.49*(F178*G178),AND(D178=7,H178="Pagas prorrateadas"),1493.61*(F178*G178),AND(D178=7,H178="Pagas no prorrateadas"),1280.24*(F178*G178)))</f>
        <v/>
      </c>
      <c r="K178" s="106" t="str">
        <f aca="false">IF(A178="","",IF(J178-I178&gt;=0,"OK",J178-I178))</f>
        <v/>
      </c>
    </row>
    <row r="179" customFormat="false" ht="14.25" hidden="false" customHeight="true" outlineLevel="0" collapsed="false">
      <c r="A179" s="106"/>
      <c r="B179" s="106"/>
      <c r="C179" s="107"/>
      <c r="D179" s="106"/>
      <c r="E179" s="106"/>
      <c r="F179" s="130" t="str">
        <f aca="false">IF(A179="","",MIN(E179/(37.5),1))</f>
        <v/>
      </c>
      <c r="G179" s="108"/>
      <c r="H179" s="106"/>
      <c r="I179" s="107"/>
      <c r="J179" s="131" t="str">
        <f aca="false" t="array" ref="J179:J179">IF(A179="","",ifs(AND(D179=1,H179="Pagas prorrateadas"),2705.41*(F179*G179),AND(D179=1,H179="Pagas no prorrateadas"),2318.93*(F179*G179),AND(D179=2,H179="Pagas prorrateadas"),2246.07*(F179*G179),AND(D179=2,H179="Pagas no prorrateadas"),1925.21*(F179*G179),AND(D179=3,H179="Pagas prorrateadas"),1775.44*(F179*G179),AND(D179=3,H179="Pagas no prorrateadas"),1521.81*(F179*G179),AND(D179=5,H179="Pagas prorrateadas"),1535.9*(F179*G179),AND(D179=5,H179="Pagas no prorrateadas"),1316.49*(F179*G179),AND(D179=7,H179="Pagas prorrateadas"),1493.61*(F179*G179),AND(D179=7,H179="Pagas no prorrateadas"),1280.24*(F179*G179)))</f>
        <v/>
      </c>
      <c r="K179" s="106" t="str">
        <f aca="false">IF(A179="","",IF(J179-I179&gt;=0,"OK",J179-I179))</f>
        <v/>
      </c>
    </row>
    <row r="180" customFormat="false" ht="14.25" hidden="false" customHeight="true" outlineLevel="0" collapsed="false">
      <c r="A180" s="106"/>
      <c r="B180" s="106"/>
      <c r="C180" s="107"/>
      <c r="D180" s="106"/>
      <c r="E180" s="106"/>
      <c r="F180" s="130" t="str">
        <f aca="false">IF(A180="","",MIN(E180/(37.5),1))</f>
        <v/>
      </c>
      <c r="G180" s="108"/>
      <c r="H180" s="106"/>
      <c r="I180" s="107"/>
      <c r="J180" s="131" t="str">
        <f aca="false" t="array" ref="J180:J180">IF(A180="","",ifs(AND(D180=1,H180="Pagas prorrateadas"),2705.41*(F180*G180),AND(D180=1,H180="Pagas no prorrateadas"),2318.93*(F180*G180),AND(D180=2,H180="Pagas prorrateadas"),2246.07*(F180*G180),AND(D180=2,H180="Pagas no prorrateadas"),1925.21*(F180*G180),AND(D180=3,H180="Pagas prorrateadas"),1775.44*(F180*G180),AND(D180=3,H180="Pagas no prorrateadas"),1521.81*(F180*G180),AND(D180=5,H180="Pagas prorrateadas"),1535.9*(F180*G180),AND(D180=5,H180="Pagas no prorrateadas"),1316.49*(F180*G180),AND(D180=7,H180="Pagas prorrateadas"),1493.61*(F180*G180),AND(D180=7,H180="Pagas no prorrateadas"),1280.24*(F180*G180)))</f>
        <v/>
      </c>
      <c r="K180" s="106" t="str">
        <f aca="false">IF(A180="","",IF(J180-I180&gt;=0,"OK",J180-I180))</f>
        <v/>
      </c>
    </row>
    <row r="181" customFormat="false" ht="14.25" hidden="false" customHeight="true" outlineLevel="0" collapsed="false">
      <c r="A181" s="106"/>
      <c r="B181" s="106"/>
      <c r="C181" s="107"/>
      <c r="D181" s="106"/>
      <c r="E181" s="106"/>
      <c r="F181" s="130" t="str">
        <f aca="false">IF(A181="","",MIN(E181/(37.5),1))</f>
        <v/>
      </c>
      <c r="G181" s="108"/>
      <c r="H181" s="106"/>
      <c r="I181" s="107"/>
      <c r="J181" s="131" t="str">
        <f aca="false" t="array" ref="J181:J181">IF(A181="","",ifs(AND(D181=1,H181="Pagas prorrateadas"),2705.41*(F181*G181),AND(D181=1,H181="Pagas no prorrateadas"),2318.93*(F181*G181),AND(D181=2,H181="Pagas prorrateadas"),2246.07*(F181*G181),AND(D181=2,H181="Pagas no prorrateadas"),1925.21*(F181*G181),AND(D181=3,H181="Pagas prorrateadas"),1775.44*(F181*G181),AND(D181=3,H181="Pagas no prorrateadas"),1521.81*(F181*G181),AND(D181=5,H181="Pagas prorrateadas"),1535.9*(F181*G181),AND(D181=5,H181="Pagas no prorrateadas"),1316.49*(F181*G181),AND(D181=7,H181="Pagas prorrateadas"),1493.61*(F181*G181),AND(D181=7,H181="Pagas no prorrateadas"),1280.24*(F181*G181)))</f>
        <v/>
      </c>
      <c r="K181" s="106" t="str">
        <f aca="false">IF(A181="","",IF(J181-I181&gt;=0,"OK",J181-I181))</f>
        <v/>
      </c>
    </row>
    <row r="182" customFormat="false" ht="14.25" hidden="false" customHeight="true" outlineLevel="0" collapsed="false">
      <c r="A182" s="106"/>
      <c r="B182" s="106"/>
      <c r="C182" s="107"/>
      <c r="D182" s="106"/>
      <c r="E182" s="106"/>
      <c r="F182" s="130" t="str">
        <f aca="false">IF(A182="","",MIN(E182/(37.5),1))</f>
        <v/>
      </c>
      <c r="G182" s="108"/>
      <c r="H182" s="106"/>
      <c r="I182" s="107"/>
      <c r="J182" s="131" t="str">
        <f aca="false" t="array" ref="J182:J182">IF(A182="","",ifs(AND(D182=1,H182="Pagas prorrateadas"),2705.41*(F182*G182),AND(D182=1,H182="Pagas no prorrateadas"),2318.93*(F182*G182),AND(D182=2,H182="Pagas prorrateadas"),2246.07*(F182*G182),AND(D182=2,H182="Pagas no prorrateadas"),1925.21*(F182*G182),AND(D182=3,H182="Pagas prorrateadas"),1775.44*(F182*G182),AND(D182=3,H182="Pagas no prorrateadas"),1521.81*(F182*G182),AND(D182=5,H182="Pagas prorrateadas"),1535.9*(F182*G182),AND(D182=5,H182="Pagas no prorrateadas"),1316.49*(F182*G182),AND(D182=7,H182="Pagas prorrateadas"),1493.61*(F182*G182),AND(D182=7,H182="Pagas no prorrateadas"),1280.24*(F182*G182)))</f>
        <v/>
      </c>
      <c r="K182" s="106" t="str">
        <f aca="false">IF(A182="","",IF(J182-I182&gt;=0,"OK",J182-I182))</f>
        <v/>
      </c>
    </row>
    <row r="183" customFormat="false" ht="14.25" hidden="false" customHeight="true" outlineLevel="0" collapsed="false">
      <c r="A183" s="106"/>
      <c r="B183" s="106"/>
      <c r="C183" s="107"/>
      <c r="D183" s="106"/>
      <c r="E183" s="106"/>
      <c r="F183" s="130" t="str">
        <f aca="false">IF(A183="","",MIN(E183/(37.5),1))</f>
        <v/>
      </c>
      <c r="G183" s="108"/>
      <c r="H183" s="106"/>
      <c r="I183" s="107"/>
      <c r="J183" s="131" t="str">
        <f aca="false" t="array" ref="J183:J183">IF(A183="","",ifs(AND(D183=1,H183="Pagas prorrateadas"),2705.41*(F183*G183),AND(D183=1,H183="Pagas no prorrateadas"),2318.93*(F183*G183),AND(D183=2,H183="Pagas prorrateadas"),2246.07*(F183*G183),AND(D183=2,H183="Pagas no prorrateadas"),1925.21*(F183*G183),AND(D183=3,H183="Pagas prorrateadas"),1775.44*(F183*G183),AND(D183=3,H183="Pagas no prorrateadas"),1521.81*(F183*G183),AND(D183=5,H183="Pagas prorrateadas"),1535.9*(F183*G183),AND(D183=5,H183="Pagas no prorrateadas"),1316.49*(F183*G183),AND(D183=7,H183="Pagas prorrateadas"),1493.61*(F183*G183),AND(D183=7,H183="Pagas no prorrateadas"),1280.24*(F183*G183)))</f>
        <v/>
      </c>
      <c r="K183" s="106" t="str">
        <f aca="false">IF(A183="","",IF(J183-I183&gt;=0,"OK",J183-I183))</f>
        <v/>
      </c>
    </row>
    <row r="184" customFormat="false" ht="14.25" hidden="false" customHeight="true" outlineLevel="0" collapsed="false">
      <c r="A184" s="106"/>
      <c r="B184" s="106"/>
      <c r="C184" s="107"/>
      <c r="D184" s="106"/>
      <c r="E184" s="106"/>
      <c r="F184" s="130" t="str">
        <f aca="false">IF(A184="","",MIN(E184/(37.5),1))</f>
        <v/>
      </c>
      <c r="G184" s="108"/>
      <c r="H184" s="106"/>
      <c r="I184" s="107"/>
      <c r="J184" s="131" t="str">
        <f aca="false" t="array" ref="J184:J184">IF(A184="","",ifs(AND(D184=1,H184="Pagas prorrateadas"),2705.41*(F184*G184),AND(D184=1,H184="Pagas no prorrateadas"),2318.93*(F184*G184),AND(D184=2,H184="Pagas prorrateadas"),2246.07*(F184*G184),AND(D184=2,H184="Pagas no prorrateadas"),1925.21*(F184*G184),AND(D184=3,H184="Pagas prorrateadas"),1775.44*(F184*G184),AND(D184=3,H184="Pagas no prorrateadas"),1521.81*(F184*G184),AND(D184=5,H184="Pagas prorrateadas"),1535.9*(F184*G184),AND(D184=5,H184="Pagas no prorrateadas"),1316.49*(F184*G184),AND(D184=7,H184="Pagas prorrateadas"),1493.61*(F184*G184),AND(D184=7,H184="Pagas no prorrateadas"),1280.24*(F184*G184)))</f>
        <v/>
      </c>
      <c r="K184" s="106" t="str">
        <f aca="false">IF(A184="","",IF(J184-I184&gt;=0,"OK",J184-I184))</f>
        <v/>
      </c>
    </row>
    <row r="185" customFormat="false" ht="14.25" hidden="false" customHeight="true" outlineLevel="0" collapsed="false">
      <c r="A185" s="106"/>
      <c r="B185" s="106"/>
      <c r="C185" s="107"/>
      <c r="D185" s="106"/>
      <c r="E185" s="106"/>
      <c r="F185" s="130" t="str">
        <f aca="false">IF(A185="","",MIN(E185/(37.5),1))</f>
        <v/>
      </c>
      <c r="G185" s="108"/>
      <c r="H185" s="106"/>
      <c r="I185" s="107"/>
      <c r="J185" s="131" t="str">
        <f aca="false" t="array" ref="J185:J185">IF(A185="","",ifs(AND(D185=1,H185="Pagas prorrateadas"),2705.41*(F185*G185),AND(D185=1,H185="Pagas no prorrateadas"),2318.93*(F185*G185),AND(D185=2,H185="Pagas prorrateadas"),2246.07*(F185*G185),AND(D185=2,H185="Pagas no prorrateadas"),1925.21*(F185*G185),AND(D185=3,H185="Pagas prorrateadas"),1775.44*(F185*G185),AND(D185=3,H185="Pagas no prorrateadas"),1521.81*(F185*G185),AND(D185=5,H185="Pagas prorrateadas"),1535.9*(F185*G185),AND(D185=5,H185="Pagas no prorrateadas"),1316.49*(F185*G185),AND(D185=7,H185="Pagas prorrateadas"),1493.61*(F185*G185),AND(D185=7,H185="Pagas no prorrateadas"),1280.24*(F185*G185)))</f>
        <v/>
      </c>
      <c r="K185" s="106" t="str">
        <f aca="false">IF(A185="","",IF(J185-I185&gt;=0,"OK",J185-I185))</f>
        <v/>
      </c>
    </row>
    <row r="186" customFormat="false" ht="14.25" hidden="false" customHeight="true" outlineLevel="0" collapsed="false">
      <c r="A186" s="106"/>
      <c r="B186" s="106"/>
      <c r="C186" s="107"/>
      <c r="D186" s="106"/>
      <c r="E186" s="106"/>
      <c r="F186" s="130" t="str">
        <f aca="false">IF(A186="","",MIN(E186/(37.5),1))</f>
        <v/>
      </c>
      <c r="G186" s="108"/>
      <c r="H186" s="106"/>
      <c r="I186" s="107"/>
      <c r="J186" s="131" t="str">
        <f aca="false" t="array" ref="J186:J186">IF(A186="","",ifs(AND(D186=1,H186="Pagas prorrateadas"),2705.41*(F186*G186),AND(D186=1,H186="Pagas no prorrateadas"),2318.93*(F186*G186),AND(D186=2,H186="Pagas prorrateadas"),2246.07*(F186*G186),AND(D186=2,H186="Pagas no prorrateadas"),1925.21*(F186*G186),AND(D186=3,H186="Pagas prorrateadas"),1775.44*(F186*G186),AND(D186=3,H186="Pagas no prorrateadas"),1521.81*(F186*G186),AND(D186=5,H186="Pagas prorrateadas"),1535.9*(F186*G186),AND(D186=5,H186="Pagas no prorrateadas"),1316.49*(F186*G186),AND(D186=7,H186="Pagas prorrateadas"),1493.61*(F186*G186),AND(D186=7,H186="Pagas no prorrateadas"),1280.24*(F186*G186)))</f>
        <v/>
      </c>
      <c r="K186" s="106" t="str">
        <f aca="false">IF(A186="","",IF(J186-I186&gt;=0,"OK",J186-I186))</f>
        <v/>
      </c>
    </row>
    <row r="187" customFormat="false" ht="14.25" hidden="false" customHeight="true" outlineLevel="0" collapsed="false">
      <c r="A187" s="106"/>
      <c r="B187" s="106"/>
      <c r="C187" s="107"/>
      <c r="D187" s="106"/>
      <c r="E187" s="106"/>
      <c r="F187" s="130" t="str">
        <f aca="false">IF(A187="","",MIN(E187/(37.5),1))</f>
        <v/>
      </c>
      <c r="G187" s="108"/>
      <c r="H187" s="106"/>
      <c r="I187" s="107"/>
      <c r="J187" s="131" t="str">
        <f aca="false" t="array" ref="J187:J187">IF(A187="","",ifs(AND(D187=1,H187="Pagas prorrateadas"),2705.41*(F187*G187),AND(D187=1,H187="Pagas no prorrateadas"),2318.93*(F187*G187),AND(D187=2,H187="Pagas prorrateadas"),2246.07*(F187*G187),AND(D187=2,H187="Pagas no prorrateadas"),1925.21*(F187*G187),AND(D187=3,H187="Pagas prorrateadas"),1775.44*(F187*G187),AND(D187=3,H187="Pagas no prorrateadas"),1521.81*(F187*G187),AND(D187=5,H187="Pagas prorrateadas"),1535.9*(F187*G187),AND(D187=5,H187="Pagas no prorrateadas"),1316.49*(F187*G187),AND(D187=7,H187="Pagas prorrateadas"),1493.61*(F187*G187),AND(D187=7,H187="Pagas no prorrateadas"),1280.24*(F187*G187)))</f>
        <v/>
      </c>
      <c r="K187" s="106" t="str">
        <f aca="false">IF(A187="","",IF(J187-I187&gt;=0,"OK",J187-I187))</f>
        <v/>
      </c>
    </row>
    <row r="188" customFormat="false" ht="14.25" hidden="false" customHeight="true" outlineLevel="0" collapsed="false">
      <c r="A188" s="106"/>
      <c r="B188" s="106"/>
      <c r="C188" s="107"/>
      <c r="D188" s="106"/>
      <c r="E188" s="106"/>
      <c r="F188" s="130" t="str">
        <f aca="false">IF(A188="","",MIN(E188/(37.5),1))</f>
        <v/>
      </c>
      <c r="G188" s="108"/>
      <c r="H188" s="106"/>
      <c r="I188" s="107"/>
      <c r="J188" s="131" t="str">
        <f aca="false" t="array" ref="J188:J188">IF(A188="","",ifs(AND(D188=1,H188="Pagas prorrateadas"),2705.41*(F188*G188),AND(D188=1,H188="Pagas no prorrateadas"),2318.93*(F188*G188),AND(D188=2,H188="Pagas prorrateadas"),2246.07*(F188*G188),AND(D188=2,H188="Pagas no prorrateadas"),1925.21*(F188*G188),AND(D188=3,H188="Pagas prorrateadas"),1775.44*(F188*G188),AND(D188=3,H188="Pagas no prorrateadas"),1521.81*(F188*G188),AND(D188=5,H188="Pagas prorrateadas"),1535.9*(F188*G188),AND(D188=5,H188="Pagas no prorrateadas"),1316.49*(F188*G188),AND(D188=7,H188="Pagas prorrateadas"),1493.61*(F188*G188),AND(D188=7,H188="Pagas no prorrateadas"),1280.24*(F188*G188)))</f>
        <v/>
      </c>
      <c r="K188" s="106" t="str">
        <f aca="false">IF(A188="","",IF(J188-I188&gt;=0,"OK",J188-I188))</f>
        <v/>
      </c>
    </row>
    <row r="189" customFormat="false" ht="14.25" hidden="false" customHeight="true" outlineLevel="0" collapsed="false">
      <c r="A189" s="106"/>
      <c r="B189" s="106"/>
      <c r="C189" s="107"/>
      <c r="D189" s="106"/>
      <c r="E189" s="106"/>
      <c r="F189" s="130" t="str">
        <f aca="false">IF(A189="","",MIN(E189/(37.5),1))</f>
        <v/>
      </c>
      <c r="G189" s="108"/>
      <c r="H189" s="106"/>
      <c r="I189" s="107"/>
      <c r="J189" s="131" t="str">
        <f aca="false" t="array" ref="J189:J189">IF(A189="","",ifs(AND(D189=1,H189="Pagas prorrateadas"),2705.41*(F189*G189),AND(D189=1,H189="Pagas no prorrateadas"),2318.93*(F189*G189),AND(D189=2,H189="Pagas prorrateadas"),2246.07*(F189*G189),AND(D189=2,H189="Pagas no prorrateadas"),1925.21*(F189*G189),AND(D189=3,H189="Pagas prorrateadas"),1775.44*(F189*G189),AND(D189=3,H189="Pagas no prorrateadas"),1521.81*(F189*G189),AND(D189=5,H189="Pagas prorrateadas"),1535.9*(F189*G189),AND(D189=5,H189="Pagas no prorrateadas"),1316.49*(F189*G189),AND(D189=7,H189="Pagas prorrateadas"),1493.61*(F189*G189),AND(D189=7,H189="Pagas no prorrateadas"),1280.24*(F189*G189)))</f>
        <v/>
      </c>
      <c r="K189" s="106" t="str">
        <f aca="false">IF(A189="","",IF(J189-I189&gt;=0,"OK",J189-I189))</f>
        <v/>
      </c>
    </row>
    <row r="190" customFormat="false" ht="14.25" hidden="false" customHeight="true" outlineLevel="0" collapsed="false">
      <c r="A190" s="106"/>
      <c r="B190" s="106"/>
      <c r="C190" s="107"/>
      <c r="D190" s="106"/>
      <c r="E190" s="106"/>
      <c r="F190" s="130" t="str">
        <f aca="false">IF(A190="","",MIN(E190/(37.5),1))</f>
        <v/>
      </c>
      <c r="G190" s="108"/>
      <c r="H190" s="106"/>
      <c r="I190" s="107"/>
      <c r="J190" s="131" t="str">
        <f aca="false" t="array" ref="J190:J190">IF(A190="","",ifs(AND(D190=1,H190="Pagas prorrateadas"),2705.41*(F190*G190),AND(D190=1,H190="Pagas no prorrateadas"),2318.93*(F190*G190),AND(D190=2,H190="Pagas prorrateadas"),2246.07*(F190*G190),AND(D190=2,H190="Pagas no prorrateadas"),1925.21*(F190*G190),AND(D190=3,H190="Pagas prorrateadas"),1775.44*(F190*G190),AND(D190=3,H190="Pagas no prorrateadas"),1521.81*(F190*G190),AND(D190=5,H190="Pagas prorrateadas"),1535.9*(F190*G190),AND(D190=5,H190="Pagas no prorrateadas"),1316.49*(F190*G190),AND(D190=7,H190="Pagas prorrateadas"),1493.61*(F190*G190),AND(D190=7,H190="Pagas no prorrateadas"),1280.24*(F190*G190)))</f>
        <v/>
      </c>
      <c r="K190" s="106" t="str">
        <f aca="false">IF(A190="","",IF(J190-I190&gt;=0,"OK",J190-I190))</f>
        <v/>
      </c>
    </row>
    <row r="191" customFormat="false" ht="14.25" hidden="false" customHeight="true" outlineLevel="0" collapsed="false">
      <c r="A191" s="106"/>
      <c r="B191" s="106"/>
      <c r="C191" s="107"/>
      <c r="D191" s="106"/>
      <c r="E191" s="106"/>
      <c r="F191" s="130" t="str">
        <f aca="false">IF(A191="","",MIN(E191/(37.5),1))</f>
        <v/>
      </c>
      <c r="G191" s="108"/>
      <c r="H191" s="106"/>
      <c r="I191" s="107"/>
      <c r="J191" s="131" t="str">
        <f aca="false" t="array" ref="J191:J191">IF(A191="","",ifs(AND(D191=1,H191="Pagas prorrateadas"),2705.41*(F191*G191),AND(D191=1,H191="Pagas no prorrateadas"),2318.93*(F191*G191),AND(D191=2,H191="Pagas prorrateadas"),2246.07*(F191*G191),AND(D191=2,H191="Pagas no prorrateadas"),1925.21*(F191*G191),AND(D191=3,H191="Pagas prorrateadas"),1775.44*(F191*G191),AND(D191=3,H191="Pagas no prorrateadas"),1521.81*(F191*G191),AND(D191=5,H191="Pagas prorrateadas"),1535.9*(F191*G191),AND(D191=5,H191="Pagas no prorrateadas"),1316.49*(F191*G191),AND(D191=7,H191="Pagas prorrateadas"),1493.61*(F191*G191),AND(D191=7,H191="Pagas no prorrateadas"),1280.24*(F191*G191)))</f>
        <v/>
      </c>
      <c r="K191" s="106" t="str">
        <f aca="false">IF(A191="","",IF(J191-I191&gt;=0,"OK",J191-I191))</f>
        <v/>
      </c>
    </row>
    <row r="192" customFormat="false" ht="14.25" hidden="false" customHeight="true" outlineLevel="0" collapsed="false">
      <c r="A192" s="106"/>
      <c r="B192" s="106"/>
      <c r="C192" s="107"/>
      <c r="D192" s="106"/>
      <c r="E192" s="106"/>
      <c r="F192" s="130" t="str">
        <f aca="false">IF(A192="","",MIN(E192/(37.5),1))</f>
        <v/>
      </c>
      <c r="G192" s="108"/>
      <c r="H192" s="106"/>
      <c r="I192" s="107"/>
      <c r="J192" s="131" t="str">
        <f aca="false" t="array" ref="J192:J192">IF(A192="","",ifs(AND(D192=1,H192="Pagas prorrateadas"),2705.41*(F192*G192),AND(D192=1,H192="Pagas no prorrateadas"),2318.93*(F192*G192),AND(D192=2,H192="Pagas prorrateadas"),2246.07*(F192*G192),AND(D192=2,H192="Pagas no prorrateadas"),1925.21*(F192*G192),AND(D192=3,H192="Pagas prorrateadas"),1775.44*(F192*G192),AND(D192=3,H192="Pagas no prorrateadas"),1521.81*(F192*G192),AND(D192=5,H192="Pagas prorrateadas"),1535.9*(F192*G192),AND(D192=5,H192="Pagas no prorrateadas"),1316.49*(F192*G192),AND(D192=7,H192="Pagas prorrateadas"),1493.61*(F192*G192),AND(D192=7,H192="Pagas no prorrateadas"),1280.24*(F192*G192)))</f>
        <v/>
      </c>
      <c r="K192" s="106" t="str">
        <f aca="false">IF(A192="","",IF(J192-I192&gt;=0,"OK",J192-I192))</f>
        <v/>
      </c>
    </row>
    <row r="193" customFormat="false" ht="14.25" hidden="false" customHeight="true" outlineLevel="0" collapsed="false">
      <c r="A193" s="106"/>
      <c r="B193" s="106"/>
      <c r="C193" s="107"/>
      <c r="D193" s="106"/>
      <c r="E193" s="106"/>
      <c r="F193" s="130" t="str">
        <f aca="false">IF(A193="","",MIN(E193/(37.5),1))</f>
        <v/>
      </c>
      <c r="G193" s="108"/>
      <c r="H193" s="106"/>
      <c r="I193" s="107"/>
      <c r="J193" s="131" t="str">
        <f aca="false" t="array" ref="J193:J193">IF(A193="","",ifs(AND(D193=1,H193="Pagas prorrateadas"),2705.41*(F193*G193),AND(D193=1,H193="Pagas no prorrateadas"),2318.93*(F193*G193),AND(D193=2,H193="Pagas prorrateadas"),2246.07*(F193*G193),AND(D193=2,H193="Pagas no prorrateadas"),1925.21*(F193*G193),AND(D193=3,H193="Pagas prorrateadas"),1775.44*(F193*G193),AND(D193=3,H193="Pagas no prorrateadas"),1521.81*(F193*G193),AND(D193=5,H193="Pagas prorrateadas"),1535.9*(F193*G193),AND(D193=5,H193="Pagas no prorrateadas"),1316.49*(F193*G193),AND(D193=7,H193="Pagas prorrateadas"),1493.61*(F193*G193),AND(D193=7,H193="Pagas no prorrateadas"),1280.24*(F193*G193)))</f>
        <v/>
      </c>
      <c r="K193" s="106" t="str">
        <f aca="false">IF(A193="","",IF(J193-I193&gt;=0,"OK",J193-I193))</f>
        <v/>
      </c>
    </row>
    <row r="194" customFormat="false" ht="14.25" hidden="false" customHeight="true" outlineLevel="0" collapsed="false">
      <c r="A194" s="106"/>
      <c r="B194" s="106"/>
      <c r="C194" s="107"/>
      <c r="D194" s="106"/>
      <c r="E194" s="106"/>
      <c r="F194" s="130" t="str">
        <f aca="false">IF(A194="","",MIN(E194/(37.5),1))</f>
        <v/>
      </c>
      <c r="G194" s="108"/>
      <c r="H194" s="106"/>
      <c r="I194" s="107"/>
      <c r="J194" s="131" t="str">
        <f aca="false" t="array" ref="J194:J194">IF(A194="","",ifs(AND(D194=1,H194="Pagas prorrateadas"),2705.41*(F194*G194),AND(D194=1,H194="Pagas no prorrateadas"),2318.93*(F194*G194),AND(D194=2,H194="Pagas prorrateadas"),2246.07*(F194*G194),AND(D194=2,H194="Pagas no prorrateadas"),1925.21*(F194*G194),AND(D194=3,H194="Pagas prorrateadas"),1775.44*(F194*G194),AND(D194=3,H194="Pagas no prorrateadas"),1521.81*(F194*G194),AND(D194=5,H194="Pagas prorrateadas"),1535.9*(F194*G194),AND(D194=5,H194="Pagas no prorrateadas"),1316.49*(F194*G194),AND(D194=7,H194="Pagas prorrateadas"),1493.61*(F194*G194),AND(D194=7,H194="Pagas no prorrateadas"),1280.24*(F194*G194)))</f>
        <v/>
      </c>
      <c r="K194" s="106" t="str">
        <f aca="false">IF(A194="","",IF(J194-I194&gt;=0,"OK",J194-I194))</f>
        <v/>
      </c>
    </row>
    <row r="195" customFormat="false" ht="14.25" hidden="false" customHeight="true" outlineLevel="0" collapsed="false">
      <c r="A195" s="106"/>
      <c r="B195" s="106"/>
      <c r="C195" s="107"/>
      <c r="D195" s="106"/>
      <c r="E195" s="106"/>
      <c r="F195" s="130" t="str">
        <f aca="false">IF(A195="","",MIN(E195/(37.5),1))</f>
        <v/>
      </c>
      <c r="G195" s="108"/>
      <c r="H195" s="106"/>
      <c r="I195" s="107"/>
      <c r="J195" s="131" t="str">
        <f aca="false" t="array" ref="J195:J195">IF(A195="","",ifs(AND(D195=1,H195="Pagas prorrateadas"),2705.41*(F195*G195),AND(D195=1,H195="Pagas no prorrateadas"),2318.93*(F195*G195),AND(D195=2,H195="Pagas prorrateadas"),2246.07*(F195*G195),AND(D195=2,H195="Pagas no prorrateadas"),1925.21*(F195*G195),AND(D195=3,H195="Pagas prorrateadas"),1775.44*(F195*G195),AND(D195=3,H195="Pagas no prorrateadas"),1521.81*(F195*G195),AND(D195=5,H195="Pagas prorrateadas"),1535.9*(F195*G195),AND(D195=5,H195="Pagas no prorrateadas"),1316.49*(F195*G195),AND(D195=7,H195="Pagas prorrateadas"),1493.61*(F195*G195),AND(D195=7,H195="Pagas no prorrateadas"),1280.24*(F195*G195)))</f>
        <v/>
      </c>
      <c r="K195" s="106" t="str">
        <f aca="false">IF(A195="","",IF(J195-I195&gt;=0,"OK",J195-I195))</f>
        <v/>
      </c>
    </row>
    <row r="196" customFormat="false" ht="14.25" hidden="false" customHeight="true" outlineLevel="0" collapsed="false">
      <c r="A196" s="106"/>
      <c r="B196" s="106"/>
      <c r="C196" s="107"/>
      <c r="D196" s="106"/>
      <c r="E196" s="106"/>
      <c r="F196" s="130" t="str">
        <f aca="false">IF(A196="","",MIN(E196/(37.5),1))</f>
        <v/>
      </c>
      <c r="G196" s="108"/>
      <c r="H196" s="106"/>
      <c r="I196" s="107"/>
      <c r="J196" s="131" t="str">
        <f aca="false" t="array" ref="J196:J196">IF(A196="","",ifs(AND(D196=1,H196="Pagas prorrateadas"),2705.41*(F196*G196),AND(D196=1,H196="Pagas no prorrateadas"),2318.93*(F196*G196),AND(D196=2,H196="Pagas prorrateadas"),2246.07*(F196*G196),AND(D196=2,H196="Pagas no prorrateadas"),1925.21*(F196*G196),AND(D196=3,H196="Pagas prorrateadas"),1775.44*(F196*G196),AND(D196=3,H196="Pagas no prorrateadas"),1521.81*(F196*G196),AND(D196=5,H196="Pagas prorrateadas"),1535.9*(F196*G196),AND(D196=5,H196="Pagas no prorrateadas"),1316.49*(F196*G196),AND(D196=7,H196="Pagas prorrateadas"),1493.61*(F196*G196),AND(D196=7,H196="Pagas no prorrateadas"),1280.24*(F196*G196)))</f>
        <v/>
      </c>
      <c r="K196" s="106" t="str">
        <f aca="false">IF(A196="","",IF(J196-I196&gt;=0,"OK",J196-I196))</f>
        <v/>
      </c>
    </row>
    <row r="197" customFormat="false" ht="14.25" hidden="false" customHeight="true" outlineLevel="0" collapsed="false">
      <c r="A197" s="106"/>
      <c r="B197" s="106"/>
      <c r="C197" s="107"/>
      <c r="D197" s="106"/>
      <c r="E197" s="106"/>
      <c r="F197" s="130" t="str">
        <f aca="false">IF(A197="","",MIN(E197/(37.5),1))</f>
        <v/>
      </c>
      <c r="G197" s="108"/>
      <c r="H197" s="106"/>
      <c r="I197" s="107"/>
      <c r="J197" s="131" t="str">
        <f aca="false" t="array" ref="J197:J197">IF(A197="","",ifs(AND(D197=1,H197="Pagas prorrateadas"),2705.41*(F197*G197),AND(D197=1,H197="Pagas no prorrateadas"),2318.93*(F197*G197),AND(D197=2,H197="Pagas prorrateadas"),2246.07*(F197*G197),AND(D197=2,H197="Pagas no prorrateadas"),1925.21*(F197*G197),AND(D197=3,H197="Pagas prorrateadas"),1775.44*(F197*G197),AND(D197=3,H197="Pagas no prorrateadas"),1521.81*(F197*G197),AND(D197=5,H197="Pagas prorrateadas"),1535.9*(F197*G197),AND(D197=5,H197="Pagas no prorrateadas"),1316.49*(F197*G197),AND(D197=7,H197="Pagas prorrateadas"),1493.61*(F197*G197),AND(D197=7,H197="Pagas no prorrateadas"),1280.24*(F197*G197)))</f>
        <v/>
      </c>
      <c r="K197" s="106" t="str">
        <f aca="false">IF(A197="","",IF(J197-I197&gt;=0,"OK",J197-I197))</f>
        <v/>
      </c>
    </row>
    <row r="198" customFormat="false" ht="14.25" hidden="false" customHeight="true" outlineLevel="0" collapsed="false">
      <c r="A198" s="106"/>
      <c r="B198" s="106"/>
      <c r="C198" s="107"/>
      <c r="D198" s="106"/>
      <c r="E198" s="106"/>
      <c r="F198" s="130" t="str">
        <f aca="false">IF(A198="","",MIN(E198/(37.5),1))</f>
        <v/>
      </c>
      <c r="G198" s="108"/>
      <c r="H198" s="106"/>
      <c r="I198" s="107"/>
      <c r="J198" s="131" t="str">
        <f aca="false" t="array" ref="J198:J198">IF(A198="","",ifs(AND(D198=1,H198="Pagas prorrateadas"),2705.41*(F198*G198),AND(D198=1,H198="Pagas no prorrateadas"),2318.93*(F198*G198),AND(D198=2,H198="Pagas prorrateadas"),2246.07*(F198*G198),AND(D198=2,H198="Pagas no prorrateadas"),1925.21*(F198*G198),AND(D198=3,H198="Pagas prorrateadas"),1775.44*(F198*G198),AND(D198=3,H198="Pagas no prorrateadas"),1521.81*(F198*G198),AND(D198=5,H198="Pagas prorrateadas"),1535.9*(F198*G198),AND(D198=5,H198="Pagas no prorrateadas"),1316.49*(F198*G198),AND(D198=7,H198="Pagas prorrateadas"),1493.61*(F198*G198),AND(D198=7,H198="Pagas no prorrateadas"),1280.24*(F198*G198)))</f>
        <v/>
      </c>
      <c r="K198" s="106" t="str">
        <f aca="false">IF(A198="","",IF(J198-I198&gt;=0,"OK",J198-I198))</f>
        <v/>
      </c>
    </row>
    <row r="199" customFormat="false" ht="14.25" hidden="false" customHeight="true" outlineLevel="0" collapsed="false">
      <c r="A199" s="106"/>
      <c r="B199" s="106"/>
      <c r="C199" s="107"/>
      <c r="D199" s="106"/>
      <c r="E199" s="106"/>
      <c r="F199" s="130" t="str">
        <f aca="false">IF(A199="","",MIN(E199/(37.5),1))</f>
        <v/>
      </c>
      <c r="G199" s="108"/>
      <c r="H199" s="106"/>
      <c r="I199" s="107"/>
      <c r="J199" s="131" t="str">
        <f aca="false" t="array" ref="J199:J199">IF(A199="","",ifs(AND(D199=1,H199="Pagas prorrateadas"),2705.41*(F199*G199),AND(D199=1,H199="Pagas no prorrateadas"),2318.93*(F199*G199),AND(D199=2,H199="Pagas prorrateadas"),2246.07*(F199*G199),AND(D199=2,H199="Pagas no prorrateadas"),1925.21*(F199*G199),AND(D199=3,H199="Pagas prorrateadas"),1775.44*(F199*G199),AND(D199=3,H199="Pagas no prorrateadas"),1521.81*(F199*G199),AND(D199=5,H199="Pagas prorrateadas"),1535.9*(F199*G199),AND(D199=5,H199="Pagas no prorrateadas"),1316.49*(F199*G199),AND(D199=7,H199="Pagas prorrateadas"),1493.61*(F199*G199),AND(D199=7,H199="Pagas no prorrateadas"),1280.24*(F199*G199)))</f>
        <v/>
      </c>
      <c r="K199" s="106" t="str">
        <f aca="false">IF(A199="","",IF(J199-I199&gt;=0,"OK",J199-I199))</f>
        <v/>
      </c>
    </row>
    <row r="200" customFormat="false" ht="14.25" hidden="false" customHeight="true" outlineLevel="0" collapsed="false">
      <c r="A200" s="106"/>
      <c r="B200" s="106"/>
      <c r="C200" s="107"/>
      <c r="D200" s="106"/>
      <c r="E200" s="106"/>
      <c r="F200" s="130" t="str">
        <f aca="false">IF(A200="","",MIN(E200/(37.5),1))</f>
        <v/>
      </c>
      <c r="G200" s="108"/>
      <c r="H200" s="106"/>
      <c r="I200" s="107"/>
      <c r="J200" s="131" t="str">
        <f aca="false" t="array" ref="J200:J200">IF(A200="","",ifs(AND(D200=1,H200="Pagas prorrateadas"),2705.41*(F200*G200),AND(D200=1,H200="Pagas no prorrateadas"),2318.93*(F200*G200),AND(D200=2,H200="Pagas prorrateadas"),2246.07*(F200*G200),AND(D200=2,H200="Pagas no prorrateadas"),1925.21*(F200*G200),AND(D200=3,H200="Pagas prorrateadas"),1775.44*(F200*G200),AND(D200=3,H200="Pagas no prorrateadas"),1521.81*(F200*G200),AND(D200=5,H200="Pagas prorrateadas"),1535.9*(F200*G200),AND(D200=5,H200="Pagas no prorrateadas"),1316.49*(F200*G200),AND(D200=7,H200="Pagas prorrateadas"),1493.61*(F200*G200),AND(D200=7,H200="Pagas no prorrateadas"),1280.24*(F200*G200)))</f>
        <v/>
      </c>
      <c r="K200" s="106" t="str">
        <f aca="false">IF(A200="","",IF(J200-I200&gt;=0,"OK",J200-I200))</f>
        <v/>
      </c>
    </row>
    <row r="201" customFormat="false" ht="14.25" hidden="false" customHeight="true" outlineLevel="0" collapsed="false">
      <c r="A201" s="106"/>
      <c r="B201" s="106"/>
      <c r="C201" s="107"/>
      <c r="D201" s="106"/>
      <c r="E201" s="106"/>
      <c r="F201" s="130" t="str">
        <f aca="false">IF(A201="","",MIN(E201/(37.5),1))</f>
        <v/>
      </c>
      <c r="G201" s="108"/>
      <c r="H201" s="106"/>
      <c r="I201" s="107"/>
      <c r="J201" s="131" t="str">
        <f aca="false" t="array" ref="J201:J201">IF(A201="","",ifs(AND(D201=1,H201="Pagas prorrateadas"),2705.41*(F201*G201),AND(D201=1,H201="Pagas no prorrateadas"),2318.93*(F201*G201),AND(D201=2,H201="Pagas prorrateadas"),2246.07*(F201*G201),AND(D201=2,H201="Pagas no prorrateadas"),1925.21*(F201*G201),AND(D201=3,H201="Pagas prorrateadas"),1775.44*(F201*G201),AND(D201=3,H201="Pagas no prorrateadas"),1521.81*(F201*G201),AND(D201=5,H201="Pagas prorrateadas"),1535.9*(F201*G201),AND(D201=5,H201="Pagas no prorrateadas"),1316.49*(F201*G201),AND(D201=7,H201="Pagas prorrateadas"),1493.61*(F201*G201),AND(D201=7,H201="Pagas no prorrateadas"),1280.24*(F201*G201)))</f>
        <v/>
      </c>
      <c r="K201" s="106" t="str">
        <f aca="false">IF(A201="","",IF(J201-I201&gt;=0,"OK",J201-I201))</f>
        <v/>
      </c>
    </row>
    <row r="202" customFormat="false" ht="14.25" hidden="false" customHeight="true" outlineLevel="0" collapsed="false">
      <c r="A202" s="106"/>
      <c r="B202" s="106"/>
      <c r="C202" s="107"/>
      <c r="D202" s="106"/>
      <c r="E202" s="106"/>
      <c r="F202" s="130" t="str">
        <f aca="false">IF(A202="","",MIN(E202/(37.5),1))</f>
        <v/>
      </c>
      <c r="G202" s="108"/>
      <c r="H202" s="106"/>
      <c r="I202" s="107"/>
      <c r="J202" s="131" t="str">
        <f aca="false" t="array" ref="J202:J202">IF(A202="","",ifs(AND(D202=1,H202="Pagas prorrateadas"),2705.41*(F202*G202),AND(D202=1,H202="Pagas no prorrateadas"),2318.93*(F202*G202),AND(D202=2,H202="Pagas prorrateadas"),2246.07*(F202*G202),AND(D202=2,H202="Pagas no prorrateadas"),1925.21*(F202*G202),AND(D202=3,H202="Pagas prorrateadas"),1775.44*(F202*G202),AND(D202=3,H202="Pagas no prorrateadas"),1521.81*(F202*G202),AND(D202=5,H202="Pagas prorrateadas"),1535.9*(F202*G202),AND(D202=5,H202="Pagas no prorrateadas"),1316.49*(F202*G202),AND(D202=7,H202="Pagas prorrateadas"),1493.61*(F202*G202),AND(D202=7,H202="Pagas no prorrateadas"),1280.24*(F202*G202)))</f>
        <v/>
      </c>
      <c r="K202" s="106" t="str">
        <f aca="false">IF(A202="","",IF(J202-I202&gt;=0,"OK",J202-I202))</f>
        <v/>
      </c>
    </row>
    <row r="203" customFormat="false" ht="14.25" hidden="false" customHeight="true" outlineLevel="0" collapsed="false">
      <c r="A203" s="106"/>
      <c r="B203" s="106"/>
      <c r="C203" s="107"/>
      <c r="D203" s="106"/>
      <c r="E203" s="106"/>
      <c r="F203" s="130" t="str">
        <f aca="false">IF(A203="","",MIN(E203/(37.5),1))</f>
        <v/>
      </c>
      <c r="G203" s="108"/>
      <c r="H203" s="106"/>
      <c r="I203" s="107"/>
      <c r="J203" s="131" t="str">
        <f aca="false" t="array" ref="J203:J203">IF(A203="","",ifs(AND(D203=1,H203="Pagas prorrateadas"),2705.41*(F203*G203),AND(D203=1,H203="Pagas no prorrateadas"),2318.93*(F203*G203),AND(D203=2,H203="Pagas prorrateadas"),2246.07*(F203*G203),AND(D203=2,H203="Pagas no prorrateadas"),1925.21*(F203*G203),AND(D203=3,H203="Pagas prorrateadas"),1775.44*(F203*G203),AND(D203=3,H203="Pagas no prorrateadas"),1521.81*(F203*G203),AND(D203=5,H203="Pagas prorrateadas"),1535.9*(F203*G203),AND(D203=5,H203="Pagas no prorrateadas"),1316.49*(F203*G203),AND(D203=7,H203="Pagas prorrateadas"),1493.61*(F203*G203),AND(D203=7,H203="Pagas no prorrateadas"),1280.24*(F203*G203)))</f>
        <v/>
      </c>
      <c r="K203" s="106" t="str">
        <f aca="false">IF(A203="","",IF(J203-I203&gt;=0,"OK",J203-I203))</f>
        <v/>
      </c>
    </row>
    <row r="204" customFormat="false" ht="14.25" hidden="false" customHeight="true" outlineLevel="0" collapsed="false">
      <c r="A204" s="106"/>
      <c r="B204" s="106"/>
      <c r="C204" s="107"/>
      <c r="D204" s="106"/>
      <c r="E204" s="106"/>
      <c r="F204" s="130" t="str">
        <f aca="false">IF(A204="","",MIN(E204/(37.5),1))</f>
        <v/>
      </c>
      <c r="G204" s="108"/>
      <c r="H204" s="106"/>
      <c r="I204" s="107"/>
      <c r="J204" s="131" t="str">
        <f aca="false" t="array" ref="J204:J204">IF(A204="","",ifs(AND(D204=1,H204="Pagas prorrateadas"),2705.41*(F204*G204),AND(D204=1,H204="Pagas no prorrateadas"),2318.93*(F204*G204),AND(D204=2,H204="Pagas prorrateadas"),2246.07*(F204*G204),AND(D204=2,H204="Pagas no prorrateadas"),1925.21*(F204*G204),AND(D204=3,H204="Pagas prorrateadas"),1775.44*(F204*G204),AND(D204=3,H204="Pagas no prorrateadas"),1521.81*(F204*G204),AND(D204=5,H204="Pagas prorrateadas"),1535.9*(F204*G204),AND(D204=5,H204="Pagas no prorrateadas"),1316.49*(F204*G204),AND(D204=7,H204="Pagas prorrateadas"),1493.61*(F204*G204),AND(D204=7,H204="Pagas no prorrateadas"),1280.24*(F204*G204)))</f>
        <v/>
      </c>
      <c r="K204" s="106" t="str">
        <f aca="false">IF(A204="","",IF(J204-I204&gt;=0,"OK",J204-I204))</f>
        <v/>
      </c>
    </row>
    <row r="205" customFormat="false" ht="14.25" hidden="false" customHeight="true" outlineLevel="0" collapsed="false">
      <c r="A205" s="106"/>
      <c r="B205" s="106"/>
      <c r="C205" s="107"/>
      <c r="D205" s="106"/>
      <c r="E205" s="106"/>
      <c r="F205" s="130" t="str">
        <f aca="false">IF(A205="","",MIN(E205/(37.5),1))</f>
        <v/>
      </c>
      <c r="G205" s="108"/>
      <c r="H205" s="106"/>
      <c r="I205" s="107"/>
      <c r="J205" s="131" t="str">
        <f aca="false" t="array" ref="J205:J205">IF(A205="","",ifs(AND(D205=1,H205="Pagas prorrateadas"),2705.41*(F205*G205),AND(D205=1,H205="Pagas no prorrateadas"),2318.93*(F205*G205),AND(D205=2,H205="Pagas prorrateadas"),2246.07*(F205*G205),AND(D205=2,H205="Pagas no prorrateadas"),1925.21*(F205*G205),AND(D205=3,H205="Pagas prorrateadas"),1775.44*(F205*G205),AND(D205=3,H205="Pagas no prorrateadas"),1521.81*(F205*G205),AND(D205=5,H205="Pagas prorrateadas"),1535.9*(F205*G205),AND(D205=5,H205="Pagas no prorrateadas"),1316.49*(F205*G205),AND(D205=7,H205="Pagas prorrateadas"),1493.61*(F205*G205),AND(D205=7,H205="Pagas no prorrateadas"),1280.24*(F205*G205)))</f>
        <v/>
      </c>
      <c r="K205" s="106" t="str">
        <f aca="false">IF(A205="","",IF(J205-I205&gt;=0,"OK",J205-I205))</f>
        <v/>
      </c>
    </row>
    <row r="206" customFormat="false" ht="14.25" hidden="false" customHeight="true" outlineLevel="0" collapsed="false">
      <c r="A206" s="106"/>
      <c r="B206" s="106"/>
      <c r="C206" s="107"/>
      <c r="D206" s="106"/>
      <c r="E206" s="106"/>
      <c r="F206" s="130" t="str">
        <f aca="false">IF(A206="","",MIN(E206/(37.5),1))</f>
        <v/>
      </c>
      <c r="G206" s="108"/>
      <c r="H206" s="106"/>
      <c r="I206" s="107"/>
      <c r="J206" s="131" t="str">
        <f aca="false" t="array" ref="J206:J206">IF(A206="","",ifs(AND(D206=1,H206="Pagas prorrateadas"),2705.41*(F206*G206),AND(D206=1,H206="Pagas no prorrateadas"),2318.93*(F206*G206),AND(D206=2,H206="Pagas prorrateadas"),2246.07*(F206*G206),AND(D206=2,H206="Pagas no prorrateadas"),1925.21*(F206*G206),AND(D206=3,H206="Pagas prorrateadas"),1775.44*(F206*G206),AND(D206=3,H206="Pagas no prorrateadas"),1521.81*(F206*G206),AND(D206=5,H206="Pagas prorrateadas"),1535.9*(F206*G206),AND(D206=5,H206="Pagas no prorrateadas"),1316.49*(F206*G206),AND(D206=7,H206="Pagas prorrateadas"),1493.61*(F206*G206),AND(D206=7,H206="Pagas no prorrateadas"),1280.24*(F206*G206)))</f>
        <v/>
      </c>
      <c r="K206" s="106" t="str">
        <f aca="false">IF(A206="","",IF(J206-I206&gt;=0,"OK",J206-I206))</f>
        <v/>
      </c>
    </row>
    <row r="207" customFormat="false" ht="14.25" hidden="false" customHeight="true" outlineLevel="0" collapsed="false">
      <c r="A207" s="106"/>
      <c r="B207" s="106"/>
      <c r="C207" s="107"/>
      <c r="D207" s="106"/>
      <c r="E207" s="106"/>
      <c r="F207" s="130" t="str">
        <f aca="false">IF(A207="","",MIN(E207/(37.5),1))</f>
        <v/>
      </c>
      <c r="G207" s="108"/>
      <c r="H207" s="106"/>
      <c r="I207" s="107"/>
      <c r="J207" s="131" t="str">
        <f aca="false" t="array" ref="J207:J207">IF(A207="","",ifs(AND(D207=1,H207="Pagas prorrateadas"),2705.41*(F207*G207),AND(D207=1,H207="Pagas no prorrateadas"),2318.93*(F207*G207),AND(D207=2,H207="Pagas prorrateadas"),2246.07*(F207*G207),AND(D207=2,H207="Pagas no prorrateadas"),1925.21*(F207*G207),AND(D207=3,H207="Pagas prorrateadas"),1775.44*(F207*G207),AND(D207=3,H207="Pagas no prorrateadas"),1521.81*(F207*G207),AND(D207=5,H207="Pagas prorrateadas"),1535.9*(F207*G207),AND(D207=5,H207="Pagas no prorrateadas"),1316.49*(F207*G207),AND(D207=7,H207="Pagas prorrateadas"),1493.61*(F207*G207),AND(D207=7,H207="Pagas no prorrateadas"),1280.24*(F207*G207)))</f>
        <v/>
      </c>
      <c r="K207" s="106" t="str">
        <f aca="false">IF(A207="","",IF(J207-I207&gt;=0,"OK",J207-I207))</f>
        <v/>
      </c>
    </row>
    <row r="208" customFormat="false" ht="14.25" hidden="false" customHeight="true" outlineLevel="0" collapsed="false">
      <c r="A208" s="106"/>
      <c r="B208" s="106"/>
      <c r="C208" s="107"/>
      <c r="D208" s="106"/>
      <c r="E208" s="106"/>
      <c r="F208" s="130" t="str">
        <f aca="false">IF(A208="","",MIN(E208/(37.5),1))</f>
        <v/>
      </c>
      <c r="G208" s="108"/>
      <c r="H208" s="106"/>
      <c r="I208" s="107"/>
      <c r="J208" s="131" t="str">
        <f aca="false" t="array" ref="J208:J208">IF(A208="","",ifs(AND(D208=1,H208="Pagas prorrateadas"),2705.41*(F208*G208),AND(D208=1,H208="Pagas no prorrateadas"),2318.93*(F208*G208),AND(D208=2,H208="Pagas prorrateadas"),2246.07*(F208*G208),AND(D208=2,H208="Pagas no prorrateadas"),1925.21*(F208*G208),AND(D208=3,H208="Pagas prorrateadas"),1775.44*(F208*G208),AND(D208=3,H208="Pagas no prorrateadas"),1521.81*(F208*G208),AND(D208=5,H208="Pagas prorrateadas"),1535.9*(F208*G208),AND(D208=5,H208="Pagas no prorrateadas"),1316.49*(F208*G208),AND(D208=7,H208="Pagas prorrateadas"),1493.61*(F208*G208),AND(D208=7,H208="Pagas no prorrateadas"),1280.24*(F208*G208)))</f>
        <v/>
      </c>
      <c r="K208" s="106" t="str">
        <f aca="false">IF(A208="","",IF(J208-I208&gt;=0,"OK",J208-I208))</f>
        <v/>
      </c>
    </row>
    <row r="209" customFormat="false" ht="14.25" hidden="false" customHeight="true" outlineLevel="0" collapsed="false">
      <c r="A209" s="106"/>
      <c r="B209" s="106"/>
      <c r="C209" s="107"/>
      <c r="D209" s="106"/>
      <c r="E209" s="106"/>
      <c r="F209" s="130" t="str">
        <f aca="false">IF(A209="","",MIN(E209/(37.5),1))</f>
        <v/>
      </c>
      <c r="G209" s="108"/>
      <c r="H209" s="106"/>
      <c r="I209" s="107"/>
      <c r="J209" s="131" t="str">
        <f aca="false" t="array" ref="J209:J209">IF(A209="","",ifs(AND(D209=1,H209="Pagas prorrateadas"),2705.41*(F209*G209),AND(D209=1,H209="Pagas no prorrateadas"),2318.93*(F209*G209),AND(D209=2,H209="Pagas prorrateadas"),2246.07*(F209*G209),AND(D209=2,H209="Pagas no prorrateadas"),1925.21*(F209*G209),AND(D209=3,H209="Pagas prorrateadas"),1775.44*(F209*G209),AND(D209=3,H209="Pagas no prorrateadas"),1521.81*(F209*G209),AND(D209=5,H209="Pagas prorrateadas"),1535.9*(F209*G209),AND(D209=5,H209="Pagas no prorrateadas"),1316.49*(F209*G209),AND(D209=7,H209="Pagas prorrateadas"),1493.61*(F209*G209),AND(D209=7,H209="Pagas no prorrateadas"),1280.24*(F209*G209)))</f>
        <v/>
      </c>
      <c r="K209" s="106" t="str">
        <f aca="false">IF(A209="","",IF(J209-I209&gt;=0,"OK",J209-I209))</f>
        <v/>
      </c>
    </row>
    <row r="210" customFormat="false" ht="14.25" hidden="false" customHeight="true" outlineLevel="0" collapsed="false">
      <c r="A210" s="106"/>
      <c r="B210" s="106"/>
      <c r="C210" s="107"/>
      <c r="D210" s="106"/>
      <c r="E210" s="106"/>
      <c r="F210" s="130" t="str">
        <f aca="false">IF(A210="","",MIN(E210/(37.5),1))</f>
        <v/>
      </c>
      <c r="G210" s="108"/>
      <c r="H210" s="106"/>
      <c r="I210" s="107"/>
      <c r="J210" s="131" t="str">
        <f aca="false" t="array" ref="J210:J210">IF(A210="","",ifs(AND(D210=1,H210="Pagas prorrateadas"),2705.41*(F210*G210),AND(D210=1,H210="Pagas no prorrateadas"),2318.93*(F210*G210),AND(D210=2,H210="Pagas prorrateadas"),2246.07*(F210*G210),AND(D210=2,H210="Pagas no prorrateadas"),1925.21*(F210*G210),AND(D210=3,H210="Pagas prorrateadas"),1775.44*(F210*G210),AND(D210=3,H210="Pagas no prorrateadas"),1521.81*(F210*G210),AND(D210=5,H210="Pagas prorrateadas"),1535.9*(F210*G210),AND(D210=5,H210="Pagas no prorrateadas"),1316.49*(F210*G210),AND(D210=7,H210="Pagas prorrateadas"),1493.61*(F210*G210),AND(D210=7,H210="Pagas no prorrateadas"),1280.24*(F210*G210)))</f>
        <v/>
      </c>
      <c r="K210" s="106" t="str">
        <f aca="false">IF(A210="","",IF(J210-I210&gt;=0,"OK",J210-I210))</f>
        <v/>
      </c>
    </row>
    <row r="211" customFormat="false" ht="14.25" hidden="false" customHeight="true" outlineLevel="0" collapsed="false">
      <c r="A211" s="106"/>
      <c r="B211" s="106"/>
      <c r="C211" s="107"/>
      <c r="D211" s="106"/>
      <c r="E211" s="106"/>
      <c r="F211" s="130" t="str">
        <f aca="false">IF(A211="","",MIN(E211/(37.5),1))</f>
        <v/>
      </c>
      <c r="G211" s="108"/>
      <c r="H211" s="106"/>
      <c r="I211" s="107"/>
      <c r="J211" s="131" t="str">
        <f aca="false" t="array" ref="J211:J211">IF(A211="","",ifs(AND(D211=1,H211="Pagas prorrateadas"),2705.41*(F211*G211),AND(D211=1,H211="Pagas no prorrateadas"),2318.93*(F211*G211),AND(D211=2,H211="Pagas prorrateadas"),2246.07*(F211*G211),AND(D211=2,H211="Pagas no prorrateadas"),1925.21*(F211*G211),AND(D211=3,H211="Pagas prorrateadas"),1775.44*(F211*G211),AND(D211=3,H211="Pagas no prorrateadas"),1521.81*(F211*G211),AND(D211=5,H211="Pagas prorrateadas"),1535.9*(F211*G211),AND(D211=5,H211="Pagas no prorrateadas"),1316.49*(F211*G211),AND(D211=7,H211="Pagas prorrateadas"),1493.61*(F211*G211),AND(D211=7,H211="Pagas no prorrateadas"),1280.24*(F211*G211)))</f>
        <v/>
      </c>
      <c r="K211" s="106" t="str">
        <f aca="false">IF(A211="","",IF(J211-I211&gt;=0,"OK",J211-I211))</f>
        <v/>
      </c>
    </row>
    <row r="212" customFormat="false" ht="14.25" hidden="false" customHeight="true" outlineLevel="0" collapsed="false">
      <c r="A212" s="106"/>
      <c r="B212" s="106"/>
      <c r="C212" s="107"/>
      <c r="D212" s="106"/>
      <c r="E212" s="106"/>
      <c r="F212" s="130" t="str">
        <f aca="false">IF(A212="","",MIN(E212/(37.5),1))</f>
        <v/>
      </c>
      <c r="G212" s="108"/>
      <c r="H212" s="106"/>
      <c r="I212" s="107"/>
      <c r="J212" s="131" t="str">
        <f aca="false" t="array" ref="J212:J212">IF(A212="","",ifs(AND(D212=1,H212="Pagas prorrateadas"),2705.41*(F212*G212),AND(D212=1,H212="Pagas no prorrateadas"),2318.93*(F212*G212),AND(D212=2,H212="Pagas prorrateadas"),2246.07*(F212*G212),AND(D212=2,H212="Pagas no prorrateadas"),1925.21*(F212*G212),AND(D212=3,H212="Pagas prorrateadas"),1775.44*(F212*G212),AND(D212=3,H212="Pagas no prorrateadas"),1521.81*(F212*G212),AND(D212=5,H212="Pagas prorrateadas"),1535.9*(F212*G212),AND(D212=5,H212="Pagas no prorrateadas"),1316.49*(F212*G212),AND(D212=7,H212="Pagas prorrateadas"),1493.61*(F212*G212),AND(D212=7,H212="Pagas no prorrateadas"),1280.24*(F212*G212)))</f>
        <v/>
      </c>
      <c r="K212" s="106" t="str">
        <f aca="false">IF(A212="","",IF(J212-I212&gt;=0,"OK",J212-I212))</f>
        <v/>
      </c>
    </row>
    <row r="213" customFormat="false" ht="14.25" hidden="false" customHeight="true" outlineLevel="0" collapsed="false">
      <c r="A213" s="106"/>
      <c r="B213" s="106"/>
      <c r="C213" s="107"/>
      <c r="D213" s="106"/>
      <c r="E213" s="106"/>
      <c r="F213" s="130" t="str">
        <f aca="false">IF(A213="","",MIN(E213/(37.5),1))</f>
        <v/>
      </c>
      <c r="G213" s="108"/>
      <c r="H213" s="106"/>
      <c r="I213" s="107"/>
      <c r="J213" s="131" t="str">
        <f aca="false" t="array" ref="J213:J213">IF(A213="","",ifs(AND(D213=1,H213="Pagas prorrateadas"),2705.41*(F213*G213),AND(D213=1,H213="Pagas no prorrateadas"),2318.93*(F213*G213),AND(D213=2,H213="Pagas prorrateadas"),2246.07*(F213*G213),AND(D213=2,H213="Pagas no prorrateadas"),1925.21*(F213*G213),AND(D213=3,H213="Pagas prorrateadas"),1775.44*(F213*G213),AND(D213=3,H213="Pagas no prorrateadas"),1521.81*(F213*G213),AND(D213=5,H213="Pagas prorrateadas"),1535.9*(F213*G213),AND(D213=5,H213="Pagas no prorrateadas"),1316.49*(F213*G213),AND(D213=7,H213="Pagas prorrateadas"),1493.61*(F213*G213),AND(D213=7,H213="Pagas no prorrateadas"),1280.24*(F213*G213)))</f>
        <v/>
      </c>
      <c r="K213" s="106" t="str">
        <f aca="false">IF(A213="","",IF(J213-I213&gt;=0,"OK",J213-I213))</f>
        <v/>
      </c>
    </row>
    <row r="214" customFormat="false" ht="14.25" hidden="false" customHeight="true" outlineLevel="0" collapsed="false">
      <c r="A214" s="106"/>
      <c r="B214" s="106"/>
      <c r="C214" s="107"/>
      <c r="D214" s="106"/>
      <c r="E214" s="106"/>
      <c r="F214" s="130" t="str">
        <f aca="false">IF(A214="","",MIN(E214/(37.5),1))</f>
        <v/>
      </c>
      <c r="G214" s="108"/>
      <c r="H214" s="106"/>
      <c r="I214" s="107"/>
      <c r="J214" s="131" t="str">
        <f aca="false" t="array" ref="J214:J214">IF(A214="","",ifs(AND(D214=1,H214="Pagas prorrateadas"),2705.41*(F214*G214),AND(D214=1,H214="Pagas no prorrateadas"),2318.93*(F214*G214),AND(D214=2,H214="Pagas prorrateadas"),2246.07*(F214*G214),AND(D214=2,H214="Pagas no prorrateadas"),1925.21*(F214*G214),AND(D214=3,H214="Pagas prorrateadas"),1775.44*(F214*G214),AND(D214=3,H214="Pagas no prorrateadas"),1521.81*(F214*G214),AND(D214=5,H214="Pagas prorrateadas"),1535.9*(F214*G214),AND(D214=5,H214="Pagas no prorrateadas"),1316.49*(F214*G214),AND(D214=7,H214="Pagas prorrateadas"),1493.61*(F214*G214),AND(D214=7,H214="Pagas no prorrateadas"),1280.24*(F214*G214)))</f>
        <v/>
      </c>
      <c r="K214" s="106" t="str">
        <f aca="false">IF(A214="","",IF(J214-I214&gt;=0,"OK",J214-I214))</f>
        <v/>
      </c>
    </row>
    <row r="215" customFormat="false" ht="14.25" hidden="false" customHeight="true" outlineLevel="0" collapsed="false">
      <c r="A215" s="106"/>
      <c r="B215" s="106"/>
      <c r="C215" s="107"/>
      <c r="D215" s="106"/>
      <c r="E215" s="106"/>
      <c r="F215" s="130" t="str">
        <f aca="false">IF(A215="","",MIN(E215/(37.5),1))</f>
        <v/>
      </c>
      <c r="G215" s="108"/>
      <c r="H215" s="106"/>
      <c r="I215" s="107"/>
      <c r="J215" s="131" t="str">
        <f aca="false" t="array" ref="J215:J215">IF(A215="","",ifs(AND(D215=1,H215="Pagas prorrateadas"),2705.41*(F215*G215),AND(D215=1,H215="Pagas no prorrateadas"),2318.93*(F215*G215),AND(D215=2,H215="Pagas prorrateadas"),2246.07*(F215*G215),AND(D215=2,H215="Pagas no prorrateadas"),1925.21*(F215*G215),AND(D215=3,H215="Pagas prorrateadas"),1775.44*(F215*G215),AND(D215=3,H215="Pagas no prorrateadas"),1521.81*(F215*G215),AND(D215=5,H215="Pagas prorrateadas"),1535.9*(F215*G215),AND(D215=5,H215="Pagas no prorrateadas"),1316.49*(F215*G215),AND(D215=7,H215="Pagas prorrateadas"),1493.61*(F215*G215),AND(D215=7,H215="Pagas no prorrateadas"),1280.24*(F215*G215)))</f>
        <v/>
      </c>
      <c r="K215" s="106" t="str">
        <f aca="false">IF(A215="","",IF(J215-I215&gt;=0,"OK",J215-I215))</f>
        <v/>
      </c>
    </row>
    <row r="216" customFormat="false" ht="14.25" hidden="false" customHeight="true" outlineLevel="0" collapsed="false">
      <c r="A216" s="106"/>
      <c r="B216" s="106"/>
      <c r="C216" s="107"/>
      <c r="D216" s="106"/>
      <c r="E216" s="106"/>
      <c r="F216" s="130" t="str">
        <f aca="false">IF(A216="","",MIN(E216/(37.5),1))</f>
        <v/>
      </c>
      <c r="G216" s="108"/>
      <c r="H216" s="106"/>
      <c r="I216" s="107"/>
      <c r="J216" s="131" t="str">
        <f aca="false" t="array" ref="J216:J216">IF(A216="","",ifs(AND(D216=1,H216="Pagas prorrateadas"),2705.41*(F216*G216),AND(D216=1,H216="Pagas no prorrateadas"),2318.93*(F216*G216),AND(D216=2,H216="Pagas prorrateadas"),2246.07*(F216*G216),AND(D216=2,H216="Pagas no prorrateadas"),1925.21*(F216*G216),AND(D216=3,H216="Pagas prorrateadas"),1775.44*(F216*G216),AND(D216=3,H216="Pagas no prorrateadas"),1521.81*(F216*G216),AND(D216=5,H216="Pagas prorrateadas"),1535.9*(F216*G216),AND(D216=5,H216="Pagas no prorrateadas"),1316.49*(F216*G216),AND(D216=7,H216="Pagas prorrateadas"),1493.61*(F216*G216),AND(D216=7,H216="Pagas no prorrateadas"),1280.24*(F216*G216)))</f>
        <v/>
      </c>
      <c r="K216" s="106" t="str">
        <f aca="false">IF(A216="","",IF(J216-I216&gt;=0,"OK",J216-I216))</f>
        <v/>
      </c>
    </row>
    <row r="217" customFormat="false" ht="14.25" hidden="false" customHeight="true" outlineLevel="0" collapsed="false">
      <c r="A217" s="106"/>
      <c r="B217" s="106"/>
      <c r="C217" s="107"/>
      <c r="D217" s="106"/>
      <c r="E217" s="106"/>
      <c r="F217" s="130" t="str">
        <f aca="false">IF(A217="","",MIN(E217/(37.5),1))</f>
        <v/>
      </c>
      <c r="G217" s="108"/>
      <c r="H217" s="106"/>
      <c r="I217" s="107"/>
      <c r="J217" s="131" t="str">
        <f aca="false" t="array" ref="J217:J217">IF(A217="","",ifs(AND(D217=1,H217="Pagas prorrateadas"),2705.41*(F217*G217),AND(D217=1,H217="Pagas no prorrateadas"),2318.93*(F217*G217),AND(D217=2,H217="Pagas prorrateadas"),2246.07*(F217*G217),AND(D217=2,H217="Pagas no prorrateadas"),1925.21*(F217*G217),AND(D217=3,H217="Pagas prorrateadas"),1775.44*(F217*G217),AND(D217=3,H217="Pagas no prorrateadas"),1521.81*(F217*G217),AND(D217=5,H217="Pagas prorrateadas"),1535.9*(F217*G217),AND(D217=5,H217="Pagas no prorrateadas"),1316.49*(F217*G217),AND(D217=7,H217="Pagas prorrateadas"),1493.61*(F217*G217),AND(D217=7,H217="Pagas no prorrateadas"),1280.24*(F217*G217)))</f>
        <v/>
      </c>
      <c r="K217" s="106" t="str">
        <f aca="false">IF(A217="","",IF(J217-I217&gt;=0,"OK",J217-I217))</f>
        <v/>
      </c>
    </row>
    <row r="218" customFormat="false" ht="14.25" hidden="false" customHeight="true" outlineLevel="0" collapsed="false">
      <c r="A218" s="106"/>
      <c r="B218" s="106"/>
      <c r="C218" s="107"/>
      <c r="D218" s="106"/>
      <c r="E218" s="106"/>
      <c r="F218" s="130" t="str">
        <f aca="false">IF(A218="","",MIN(E218/(37.5),1))</f>
        <v/>
      </c>
      <c r="G218" s="108"/>
      <c r="H218" s="106"/>
      <c r="I218" s="107"/>
      <c r="J218" s="131" t="str">
        <f aca="false" t="array" ref="J218:J218">IF(A218="","",ifs(AND(D218=1,H218="Pagas prorrateadas"),2705.41*(F218*G218),AND(D218=1,H218="Pagas no prorrateadas"),2318.93*(F218*G218),AND(D218=2,H218="Pagas prorrateadas"),2246.07*(F218*G218),AND(D218=2,H218="Pagas no prorrateadas"),1925.21*(F218*G218),AND(D218=3,H218="Pagas prorrateadas"),1775.44*(F218*G218),AND(D218=3,H218="Pagas no prorrateadas"),1521.81*(F218*G218),AND(D218=5,H218="Pagas prorrateadas"),1535.9*(F218*G218),AND(D218=5,H218="Pagas no prorrateadas"),1316.49*(F218*G218),AND(D218=7,H218="Pagas prorrateadas"),1493.61*(F218*G218),AND(D218=7,H218="Pagas no prorrateadas"),1280.24*(F218*G218)))</f>
        <v/>
      </c>
      <c r="K218" s="106" t="str">
        <f aca="false">IF(A218="","",IF(J218-I218&gt;=0,"OK",J218-I218))</f>
        <v/>
      </c>
    </row>
    <row r="219" customFormat="false" ht="14.25" hidden="false" customHeight="true" outlineLevel="0" collapsed="false">
      <c r="A219" s="106"/>
      <c r="B219" s="106"/>
      <c r="C219" s="107"/>
      <c r="D219" s="106"/>
      <c r="E219" s="106"/>
      <c r="F219" s="130" t="str">
        <f aca="false">IF(A219="","",MIN(E219/(37.5),1))</f>
        <v/>
      </c>
      <c r="G219" s="108"/>
      <c r="H219" s="106"/>
      <c r="I219" s="107"/>
      <c r="J219" s="131" t="str">
        <f aca="false" t="array" ref="J219:J219">IF(A219="","",ifs(AND(D219=1,H219="Pagas prorrateadas"),2705.41*(F219*G219),AND(D219=1,H219="Pagas no prorrateadas"),2318.93*(F219*G219),AND(D219=2,H219="Pagas prorrateadas"),2246.07*(F219*G219),AND(D219=2,H219="Pagas no prorrateadas"),1925.21*(F219*G219),AND(D219=3,H219="Pagas prorrateadas"),1775.44*(F219*G219),AND(D219=3,H219="Pagas no prorrateadas"),1521.81*(F219*G219),AND(D219=5,H219="Pagas prorrateadas"),1535.9*(F219*G219),AND(D219=5,H219="Pagas no prorrateadas"),1316.49*(F219*G219),AND(D219=7,H219="Pagas prorrateadas"),1493.61*(F219*G219),AND(D219=7,H219="Pagas no prorrateadas"),1280.24*(F219*G219)))</f>
        <v/>
      </c>
      <c r="K219" s="106" t="str">
        <f aca="false">IF(A219="","",IF(J219-I219&gt;=0,"OK",J219-I219))</f>
        <v/>
      </c>
    </row>
    <row r="220" customFormat="false" ht="14.25" hidden="false" customHeight="true" outlineLevel="0" collapsed="false">
      <c r="A220" s="106"/>
      <c r="B220" s="106"/>
      <c r="C220" s="107"/>
      <c r="D220" s="106"/>
      <c r="E220" s="106"/>
      <c r="F220" s="130" t="str">
        <f aca="false">IF(A220="","",MIN(E220/(37.5),1))</f>
        <v/>
      </c>
      <c r="G220" s="108"/>
      <c r="H220" s="106"/>
      <c r="I220" s="107"/>
      <c r="J220" s="131" t="str">
        <f aca="false" t="array" ref="J220:J220">IF(A220="","",ifs(AND(D220=1,H220="Pagas prorrateadas"),2705.41*(F220*G220),AND(D220=1,H220="Pagas no prorrateadas"),2318.93*(F220*G220),AND(D220=2,H220="Pagas prorrateadas"),2246.07*(F220*G220),AND(D220=2,H220="Pagas no prorrateadas"),1925.21*(F220*G220),AND(D220=3,H220="Pagas prorrateadas"),1775.44*(F220*G220),AND(D220=3,H220="Pagas no prorrateadas"),1521.81*(F220*G220),AND(D220=5,H220="Pagas prorrateadas"),1535.9*(F220*G220),AND(D220=5,H220="Pagas no prorrateadas"),1316.49*(F220*G220),AND(D220=7,H220="Pagas prorrateadas"),1493.61*(F220*G220),AND(D220=7,H220="Pagas no prorrateadas"),1280.24*(F220*G220)))</f>
        <v/>
      </c>
      <c r="K220" s="106" t="str">
        <f aca="false">IF(A220="","",IF(J220-I220&gt;=0,"OK",J220-I220))</f>
        <v/>
      </c>
    </row>
    <row r="221" customFormat="false" ht="14.25" hidden="false" customHeight="true" outlineLevel="0" collapsed="false">
      <c r="A221" s="106"/>
      <c r="B221" s="106"/>
      <c r="C221" s="107"/>
      <c r="D221" s="106"/>
      <c r="E221" s="106"/>
      <c r="F221" s="130" t="str">
        <f aca="false">IF(A221="","",MIN(E221/(37.5),1))</f>
        <v/>
      </c>
      <c r="G221" s="108"/>
      <c r="H221" s="106"/>
      <c r="I221" s="107"/>
      <c r="J221" s="131" t="str">
        <f aca="false" t="array" ref="J221:J221">IF(A221="","",ifs(AND(D221=1,H221="Pagas prorrateadas"),2705.41*(F221*G221),AND(D221=1,H221="Pagas no prorrateadas"),2318.93*(F221*G221),AND(D221=2,H221="Pagas prorrateadas"),2246.07*(F221*G221),AND(D221=2,H221="Pagas no prorrateadas"),1925.21*(F221*G221),AND(D221=3,H221="Pagas prorrateadas"),1775.44*(F221*G221),AND(D221=3,H221="Pagas no prorrateadas"),1521.81*(F221*G221),AND(D221=5,H221="Pagas prorrateadas"),1535.9*(F221*G221),AND(D221=5,H221="Pagas no prorrateadas"),1316.49*(F221*G221),AND(D221=7,H221="Pagas prorrateadas"),1493.61*(F221*G221),AND(D221=7,H221="Pagas no prorrateadas"),1280.24*(F221*G221)))</f>
        <v/>
      </c>
      <c r="K221" s="106" t="str">
        <f aca="false">IF(A221="","",IF(J221-I221&gt;=0,"OK",J221-I221))</f>
        <v/>
      </c>
    </row>
    <row r="222" customFormat="false" ht="14.25" hidden="false" customHeight="true" outlineLevel="0" collapsed="false">
      <c r="A222" s="106"/>
      <c r="B222" s="106"/>
      <c r="C222" s="107"/>
      <c r="D222" s="106"/>
      <c r="E222" s="106"/>
      <c r="F222" s="130" t="str">
        <f aca="false">IF(A222="","",MIN(E222/(37.5),1))</f>
        <v/>
      </c>
      <c r="G222" s="108"/>
      <c r="H222" s="106"/>
      <c r="I222" s="107"/>
      <c r="J222" s="131" t="str">
        <f aca="false" t="array" ref="J222:J222">IF(A222="","",ifs(AND(D222=1,H222="Pagas prorrateadas"),2705.41*(F222*G222),AND(D222=1,H222="Pagas no prorrateadas"),2318.93*(F222*G222),AND(D222=2,H222="Pagas prorrateadas"),2246.07*(F222*G222),AND(D222=2,H222="Pagas no prorrateadas"),1925.21*(F222*G222),AND(D222=3,H222="Pagas prorrateadas"),1775.44*(F222*G222),AND(D222=3,H222="Pagas no prorrateadas"),1521.81*(F222*G222),AND(D222=5,H222="Pagas prorrateadas"),1535.9*(F222*G222),AND(D222=5,H222="Pagas no prorrateadas"),1316.49*(F222*G222),AND(D222=7,H222="Pagas prorrateadas"),1493.61*(F222*G222),AND(D222=7,H222="Pagas no prorrateadas"),1280.24*(F222*G222)))</f>
        <v/>
      </c>
      <c r="K222" s="106" t="str">
        <f aca="false">IF(A222="","",IF(J222-I222&gt;=0,"OK",J222-I222))</f>
        <v/>
      </c>
    </row>
    <row r="223" customFormat="false" ht="14.25" hidden="false" customHeight="true" outlineLevel="0" collapsed="false">
      <c r="A223" s="106"/>
      <c r="B223" s="106"/>
      <c r="C223" s="107"/>
      <c r="D223" s="106"/>
      <c r="E223" s="106"/>
      <c r="F223" s="130" t="str">
        <f aca="false">IF(A223="","",MIN(E223/(37.5),1))</f>
        <v/>
      </c>
      <c r="G223" s="108"/>
      <c r="H223" s="106"/>
      <c r="I223" s="107"/>
      <c r="J223" s="131" t="str">
        <f aca="false" t="array" ref="J223:J223">IF(A223="","",ifs(AND(D223=1,H223="Pagas prorrateadas"),2705.41*(F223*G223),AND(D223=1,H223="Pagas no prorrateadas"),2318.93*(F223*G223),AND(D223=2,H223="Pagas prorrateadas"),2246.07*(F223*G223),AND(D223=2,H223="Pagas no prorrateadas"),1925.21*(F223*G223),AND(D223=3,H223="Pagas prorrateadas"),1775.44*(F223*G223),AND(D223=3,H223="Pagas no prorrateadas"),1521.81*(F223*G223),AND(D223=5,H223="Pagas prorrateadas"),1535.9*(F223*G223),AND(D223=5,H223="Pagas no prorrateadas"),1316.49*(F223*G223),AND(D223=7,H223="Pagas prorrateadas"),1493.61*(F223*G223),AND(D223=7,H223="Pagas no prorrateadas"),1280.24*(F223*G223)))</f>
        <v/>
      </c>
      <c r="K223" s="106" t="str">
        <f aca="false">IF(A223="","",IF(J223-I223&gt;=0,"OK",J223-I223))</f>
        <v/>
      </c>
    </row>
    <row r="224" customFormat="false" ht="14.25" hidden="false" customHeight="true" outlineLevel="0" collapsed="false">
      <c r="A224" s="106"/>
      <c r="B224" s="106"/>
      <c r="C224" s="107"/>
      <c r="D224" s="106"/>
      <c r="E224" s="106"/>
      <c r="F224" s="130" t="str">
        <f aca="false">IF(A224="","",MIN(E224/(37.5),1))</f>
        <v/>
      </c>
      <c r="G224" s="108"/>
      <c r="H224" s="106"/>
      <c r="I224" s="107"/>
      <c r="J224" s="131" t="str">
        <f aca="false" t="array" ref="J224:J224">IF(A224="","",ifs(AND(D224=1,H224="Pagas prorrateadas"),2705.41*(F224*G224),AND(D224=1,H224="Pagas no prorrateadas"),2318.93*(F224*G224),AND(D224=2,H224="Pagas prorrateadas"),2246.07*(F224*G224),AND(D224=2,H224="Pagas no prorrateadas"),1925.21*(F224*G224),AND(D224=3,H224="Pagas prorrateadas"),1775.44*(F224*G224),AND(D224=3,H224="Pagas no prorrateadas"),1521.81*(F224*G224),AND(D224=5,H224="Pagas prorrateadas"),1535.9*(F224*G224),AND(D224=5,H224="Pagas no prorrateadas"),1316.49*(F224*G224),AND(D224=7,H224="Pagas prorrateadas"),1493.61*(F224*G224),AND(D224=7,H224="Pagas no prorrateadas"),1280.24*(F224*G224)))</f>
        <v/>
      </c>
      <c r="K224" s="106" t="str">
        <f aca="false">IF(A224="","",IF(J224-I224&gt;=0,"OK",J224-I224))</f>
        <v/>
      </c>
    </row>
    <row r="225" customFormat="false" ht="14.25" hidden="false" customHeight="true" outlineLevel="0" collapsed="false">
      <c r="A225" s="106"/>
      <c r="B225" s="106"/>
      <c r="C225" s="107"/>
      <c r="D225" s="106"/>
      <c r="E225" s="106"/>
      <c r="F225" s="130" t="str">
        <f aca="false">IF(A225="","",MIN(E225/(37.5),1))</f>
        <v/>
      </c>
      <c r="G225" s="108"/>
      <c r="H225" s="106"/>
      <c r="I225" s="107"/>
      <c r="J225" s="131" t="str">
        <f aca="false" t="array" ref="J225:J225">IF(A225="","",ifs(AND(D225=1,H225="Pagas prorrateadas"),2705.41*(F225*G225),AND(D225=1,H225="Pagas no prorrateadas"),2318.93*(F225*G225),AND(D225=2,H225="Pagas prorrateadas"),2246.07*(F225*G225),AND(D225=2,H225="Pagas no prorrateadas"),1925.21*(F225*G225),AND(D225=3,H225="Pagas prorrateadas"),1775.44*(F225*G225),AND(D225=3,H225="Pagas no prorrateadas"),1521.81*(F225*G225),AND(D225=5,H225="Pagas prorrateadas"),1535.9*(F225*G225),AND(D225=5,H225="Pagas no prorrateadas"),1316.49*(F225*G225),AND(D225=7,H225="Pagas prorrateadas"),1493.61*(F225*G225),AND(D225=7,H225="Pagas no prorrateadas"),1280.24*(F225*G225)))</f>
        <v/>
      </c>
      <c r="K225" s="106" t="str">
        <f aca="false">IF(A225="","",IF(J225-I225&gt;=0,"OK",J225-I225))</f>
        <v/>
      </c>
    </row>
    <row r="226" customFormat="false" ht="14.25" hidden="false" customHeight="true" outlineLevel="0" collapsed="false">
      <c r="A226" s="106"/>
      <c r="B226" s="106"/>
      <c r="C226" s="107"/>
      <c r="D226" s="106"/>
      <c r="E226" s="106"/>
      <c r="F226" s="130" t="str">
        <f aca="false">IF(A226="","",MIN(E226/(37.5),1))</f>
        <v/>
      </c>
      <c r="G226" s="108"/>
      <c r="H226" s="106"/>
      <c r="I226" s="107"/>
      <c r="J226" s="131" t="str">
        <f aca="false" t="array" ref="J226:J226">IF(A226="","",ifs(AND(D226=1,H226="Pagas prorrateadas"),2705.41*(F226*G226),AND(D226=1,H226="Pagas no prorrateadas"),2318.93*(F226*G226),AND(D226=2,H226="Pagas prorrateadas"),2246.07*(F226*G226),AND(D226=2,H226="Pagas no prorrateadas"),1925.21*(F226*G226),AND(D226=3,H226="Pagas prorrateadas"),1775.44*(F226*G226),AND(D226=3,H226="Pagas no prorrateadas"),1521.81*(F226*G226),AND(D226=5,H226="Pagas prorrateadas"),1535.9*(F226*G226),AND(D226=5,H226="Pagas no prorrateadas"),1316.49*(F226*G226),AND(D226=7,H226="Pagas prorrateadas"),1493.61*(F226*G226),AND(D226=7,H226="Pagas no prorrateadas"),1280.24*(F226*G226)))</f>
        <v/>
      </c>
      <c r="K226" s="106" t="str">
        <f aca="false">IF(A226="","",IF(J226-I226&gt;=0,"OK",J226-I226))</f>
        <v/>
      </c>
    </row>
    <row r="227" customFormat="false" ht="14.25" hidden="false" customHeight="true" outlineLevel="0" collapsed="false">
      <c r="A227" s="106"/>
      <c r="B227" s="106"/>
      <c r="C227" s="107"/>
      <c r="D227" s="106"/>
      <c r="E227" s="106"/>
      <c r="F227" s="130" t="str">
        <f aca="false">IF(A227="","",MIN(E227/(37.5),1))</f>
        <v/>
      </c>
      <c r="G227" s="108"/>
      <c r="H227" s="106"/>
      <c r="I227" s="107"/>
      <c r="J227" s="131" t="str">
        <f aca="false" t="array" ref="J227:J227">IF(A227="","",ifs(AND(D227=1,H227="Pagas prorrateadas"),2705.41*(F227*G227),AND(D227=1,H227="Pagas no prorrateadas"),2318.93*(F227*G227),AND(D227=2,H227="Pagas prorrateadas"),2246.07*(F227*G227),AND(D227=2,H227="Pagas no prorrateadas"),1925.21*(F227*G227),AND(D227=3,H227="Pagas prorrateadas"),1775.44*(F227*G227),AND(D227=3,H227="Pagas no prorrateadas"),1521.81*(F227*G227),AND(D227=5,H227="Pagas prorrateadas"),1535.9*(F227*G227),AND(D227=5,H227="Pagas no prorrateadas"),1316.49*(F227*G227),AND(D227=7,H227="Pagas prorrateadas"),1493.61*(F227*G227),AND(D227=7,H227="Pagas no prorrateadas"),1280.24*(F227*G227)))</f>
        <v/>
      </c>
      <c r="K227" s="106" t="str">
        <f aca="false">IF(A227="","",IF(J227-I227&gt;=0,"OK",J227-I227))</f>
        <v/>
      </c>
    </row>
    <row r="228" customFormat="false" ht="14.25" hidden="false" customHeight="true" outlineLevel="0" collapsed="false">
      <c r="A228" s="106"/>
      <c r="B228" s="106"/>
      <c r="C228" s="107"/>
      <c r="D228" s="106"/>
      <c r="E228" s="106"/>
      <c r="F228" s="130" t="str">
        <f aca="false">IF(A228="","",MIN(E228/(37.5),1))</f>
        <v/>
      </c>
      <c r="G228" s="108"/>
      <c r="H228" s="106"/>
      <c r="I228" s="107"/>
      <c r="J228" s="131" t="str">
        <f aca="false" t="array" ref="J228:J228">IF(A228="","",ifs(AND(D228=1,H228="Pagas prorrateadas"),2705.41*(F228*G228),AND(D228=1,H228="Pagas no prorrateadas"),2318.93*(F228*G228),AND(D228=2,H228="Pagas prorrateadas"),2246.07*(F228*G228),AND(D228=2,H228="Pagas no prorrateadas"),1925.21*(F228*G228),AND(D228=3,H228="Pagas prorrateadas"),1775.44*(F228*G228),AND(D228=3,H228="Pagas no prorrateadas"),1521.81*(F228*G228),AND(D228=5,H228="Pagas prorrateadas"),1535.9*(F228*G228),AND(D228=5,H228="Pagas no prorrateadas"),1316.49*(F228*G228),AND(D228=7,H228="Pagas prorrateadas"),1493.61*(F228*G228),AND(D228=7,H228="Pagas no prorrateadas"),1280.24*(F228*G228)))</f>
        <v/>
      </c>
      <c r="K228" s="106" t="str">
        <f aca="false">IF(A228="","",IF(J228-I228&gt;=0,"OK",J228-I228))</f>
        <v/>
      </c>
    </row>
    <row r="229" customFormat="false" ht="14.25" hidden="false" customHeight="true" outlineLevel="0" collapsed="false">
      <c r="A229" s="106"/>
      <c r="B229" s="106"/>
      <c r="C229" s="107"/>
      <c r="D229" s="106"/>
      <c r="E229" s="106"/>
      <c r="F229" s="130" t="str">
        <f aca="false">IF(A229="","",MIN(E229/(37.5),1))</f>
        <v/>
      </c>
      <c r="G229" s="108"/>
      <c r="H229" s="106"/>
      <c r="I229" s="107"/>
      <c r="J229" s="131" t="str">
        <f aca="false" t="array" ref="J229:J229">IF(A229="","",ifs(AND(D229=1,H229="Pagas prorrateadas"),2705.41*(F229*G229),AND(D229=1,H229="Pagas no prorrateadas"),2318.93*(F229*G229),AND(D229=2,H229="Pagas prorrateadas"),2246.07*(F229*G229),AND(D229=2,H229="Pagas no prorrateadas"),1925.21*(F229*G229),AND(D229=3,H229="Pagas prorrateadas"),1775.44*(F229*G229),AND(D229=3,H229="Pagas no prorrateadas"),1521.81*(F229*G229),AND(D229=5,H229="Pagas prorrateadas"),1535.9*(F229*G229),AND(D229=5,H229="Pagas no prorrateadas"),1316.49*(F229*G229),AND(D229=7,H229="Pagas prorrateadas"),1493.61*(F229*G229),AND(D229=7,H229="Pagas no prorrateadas"),1280.24*(F229*G229)))</f>
        <v/>
      </c>
      <c r="K229" s="106" t="str">
        <f aca="false">IF(A229="","",IF(J229-I229&gt;=0,"OK",J229-I229))</f>
        <v/>
      </c>
    </row>
    <row r="230" customFormat="false" ht="14.25" hidden="false" customHeight="true" outlineLevel="0" collapsed="false">
      <c r="A230" s="106"/>
      <c r="B230" s="106"/>
      <c r="C230" s="107"/>
      <c r="D230" s="106"/>
      <c r="E230" s="106"/>
      <c r="F230" s="130" t="str">
        <f aca="false">IF(A230="","",MIN(E230/(37.5),1))</f>
        <v/>
      </c>
      <c r="G230" s="108"/>
      <c r="H230" s="106"/>
      <c r="I230" s="107"/>
      <c r="J230" s="131" t="str">
        <f aca="false" t="array" ref="J230:J230">IF(A230="","",ifs(AND(D230=1,H230="Pagas prorrateadas"),2705.41*(F230*G230),AND(D230=1,H230="Pagas no prorrateadas"),2318.93*(F230*G230),AND(D230=2,H230="Pagas prorrateadas"),2246.07*(F230*G230),AND(D230=2,H230="Pagas no prorrateadas"),1925.21*(F230*G230),AND(D230=3,H230="Pagas prorrateadas"),1775.44*(F230*G230),AND(D230=3,H230="Pagas no prorrateadas"),1521.81*(F230*G230),AND(D230=5,H230="Pagas prorrateadas"),1535.9*(F230*G230),AND(D230=5,H230="Pagas no prorrateadas"),1316.49*(F230*G230),AND(D230=7,H230="Pagas prorrateadas"),1493.61*(F230*G230),AND(D230=7,H230="Pagas no prorrateadas"),1280.24*(F230*G230)))</f>
        <v/>
      </c>
      <c r="K230" s="106" t="str">
        <f aca="false">IF(A230="","",IF(J230-I230&gt;=0,"OK",J230-I230))</f>
        <v/>
      </c>
    </row>
    <row r="231" customFormat="false" ht="14.25" hidden="false" customHeight="true" outlineLevel="0" collapsed="false">
      <c r="A231" s="106"/>
      <c r="B231" s="106"/>
      <c r="C231" s="107"/>
      <c r="D231" s="106"/>
      <c r="E231" s="106"/>
      <c r="F231" s="130" t="str">
        <f aca="false">IF(A231="","",MIN(E231/(37.5),1))</f>
        <v/>
      </c>
      <c r="G231" s="108"/>
      <c r="H231" s="106"/>
      <c r="I231" s="107"/>
      <c r="J231" s="131" t="str">
        <f aca="false" t="array" ref="J231:J231">IF(A231="","",ifs(AND(D231=1,H231="Pagas prorrateadas"),2705.41*(F231*G231),AND(D231=1,H231="Pagas no prorrateadas"),2318.93*(F231*G231),AND(D231=2,H231="Pagas prorrateadas"),2246.07*(F231*G231),AND(D231=2,H231="Pagas no prorrateadas"),1925.21*(F231*G231),AND(D231=3,H231="Pagas prorrateadas"),1775.44*(F231*G231),AND(D231=3,H231="Pagas no prorrateadas"),1521.81*(F231*G231),AND(D231=5,H231="Pagas prorrateadas"),1535.9*(F231*G231),AND(D231=5,H231="Pagas no prorrateadas"),1316.49*(F231*G231),AND(D231=7,H231="Pagas prorrateadas"),1493.61*(F231*G231),AND(D231=7,H231="Pagas no prorrateadas"),1280.24*(F231*G231)))</f>
        <v/>
      </c>
      <c r="K231" s="106" t="str">
        <f aca="false">IF(A231="","",IF(J231-I231&gt;=0,"OK",J231-I231))</f>
        <v/>
      </c>
    </row>
    <row r="232" customFormat="false" ht="14.25" hidden="false" customHeight="true" outlineLevel="0" collapsed="false">
      <c r="A232" s="106"/>
      <c r="B232" s="106"/>
      <c r="C232" s="107"/>
      <c r="D232" s="106"/>
      <c r="E232" s="106"/>
      <c r="F232" s="130" t="str">
        <f aca="false">IF(A232="","",MIN(E232/(37.5),1))</f>
        <v/>
      </c>
      <c r="G232" s="108"/>
      <c r="H232" s="106"/>
      <c r="I232" s="107"/>
      <c r="J232" s="131" t="str">
        <f aca="false" t="array" ref="J232:J232">IF(A232="","",ifs(AND(D232=1,H232="Pagas prorrateadas"),2705.41*(F232*G232),AND(D232=1,H232="Pagas no prorrateadas"),2318.93*(F232*G232),AND(D232=2,H232="Pagas prorrateadas"),2246.07*(F232*G232),AND(D232=2,H232="Pagas no prorrateadas"),1925.21*(F232*G232),AND(D232=3,H232="Pagas prorrateadas"),1775.44*(F232*G232),AND(D232=3,H232="Pagas no prorrateadas"),1521.81*(F232*G232),AND(D232=5,H232="Pagas prorrateadas"),1535.9*(F232*G232),AND(D232=5,H232="Pagas no prorrateadas"),1316.49*(F232*G232),AND(D232=7,H232="Pagas prorrateadas"),1493.61*(F232*G232),AND(D232=7,H232="Pagas no prorrateadas"),1280.24*(F232*G232)))</f>
        <v/>
      </c>
      <c r="K232" s="106" t="str">
        <f aca="false">IF(A232="","",IF(J232-I232&gt;=0,"OK",J232-I232))</f>
        <v/>
      </c>
    </row>
    <row r="233" customFormat="false" ht="14.25" hidden="false" customHeight="true" outlineLevel="0" collapsed="false">
      <c r="A233" s="106"/>
      <c r="B233" s="106"/>
      <c r="C233" s="107"/>
      <c r="D233" s="106"/>
      <c r="E233" s="106"/>
      <c r="F233" s="130" t="str">
        <f aca="false">IF(A233="","",MIN(E233/(37.5),1))</f>
        <v/>
      </c>
      <c r="G233" s="108"/>
      <c r="H233" s="106"/>
      <c r="I233" s="107"/>
      <c r="J233" s="131" t="str">
        <f aca="false" t="array" ref="J233:J233">IF(A233="","",ifs(AND(D233=1,H233="Pagas prorrateadas"),2705.41*(F233*G233),AND(D233=1,H233="Pagas no prorrateadas"),2318.93*(F233*G233),AND(D233=2,H233="Pagas prorrateadas"),2246.07*(F233*G233),AND(D233=2,H233="Pagas no prorrateadas"),1925.21*(F233*G233),AND(D233=3,H233="Pagas prorrateadas"),1775.44*(F233*G233),AND(D233=3,H233="Pagas no prorrateadas"),1521.81*(F233*G233),AND(D233=5,H233="Pagas prorrateadas"),1535.9*(F233*G233),AND(D233=5,H233="Pagas no prorrateadas"),1316.49*(F233*G233),AND(D233=7,H233="Pagas prorrateadas"),1493.61*(F233*G233),AND(D233=7,H233="Pagas no prorrateadas"),1280.24*(F233*G233)))</f>
        <v/>
      </c>
      <c r="K233" s="106" t="str">
        <f aca="false">IF(A233="","",IF(J233-I233&gt;=0,"OK",J233-I233))</f>
        <v/>
      </c>
    </row>
    <row r="234" customFormat="false" ht="14.25" hidden="false" customHeight="true" outlineLevel="0" collapsed="false">
      <c r="A234" s="106"/>
      <c r="B234" s="106"/>
      <c r="C234" s="107"/>
      <c r="D234" s="106"/>
      <c r="E234" s="106"/>
      <c r="F234" s="130" t="str">
        <f aca="false">IF(A234="","",MIN(E234/(37.5),1))</f>
        <v/>
      </c>
      <c r="G234" s="108"/>
      <c r="H234" s="106"/>
      <c r="I234" s="107"/>
      <c r="J234" s="131" t="str">
        <f aca="false" t="array" ref="J234:J234">IF(A234="","",ifs(AND(D234=1,H234="Pagas prorrateadas"),2705.41*(F234*G234),AND(D234=1,H234="Pagas no prorrateadas"),2318.93*(F234*G234),AND(D234=2,H234="Pagas prorrateadas"),2246.07*(F234*G234),AND(D234=2,H234="Pagas no prorrateadas"),1925.21*(F234*G234),AND(D234=3,H234="Pagas prorrateadas"),1775.44*(F234*G234),AND(D234=3,H234="Pagas no prorrateadas"),1521.81*(F234*G234),AND(D234=5,H234="Pagas prorrateadas"),1535.9*(F234*G234),AND(D234=5,H234="Pagas no prorrateadas"),1316.49*(F234*G234),AND(D234=7,H234="Pagas prorrateadas"),1493.61*(F234*G234),AND(D234=7,H234="Pagas no prorrateadas"),1280.24*(F234*G234)))</f>
        <v/>
      </c>
      <c r="K234" s="106" t="str">
        <f aca="false">IF(A234="","",IF(J234-I234&gt;=0,"OK",J234-I234))</f>
        <v/>
      </c>
    </row>
    <row r="235" customFormat="false" ht="14.25" hidden="false" customHeight="true" outlineLevel="0" collapsed="false">
      <c r="A235" s="106"/>
      <c r="B235" s="106"/>
      <c r="C235" s="107"/>
      <c r="D235" s="106"/>
      <c r="E235" s="106"/>
      <c r="F235" s="130" t="str">
        <f aca="false">IF(A235="","",MIN(E235/(37.5),1))</f>
        <v/>
      </c>
      <c r="G235" s="108"/>
      <c r="H235" s="106"/>
      <c r="I235" s="107"/>
      <c r="J235" s="131" t="str">
        <f aca="false" t="array" ref="J235:J235">IF(A235="","",ifs(AND(D235=1,H235="Pagas prorrateadas"),2705.41*(F235*G235),AND(D235=1,H235="Pagas no prorrateadas"),2318.93*(F235*G235),AND(D235=2,H235="Pagas prorrateadas"),2246.07*(F235*G235),AND(D235=2,H235="Pagas no prorrateadas"),1925.21*(F235*G235),AND(D235=3,H235="Pagas prorrateadas"),1775.44*(F235*G235),AND(D235=3,H235="Pagas no prorrateadas"),1521.81*(F235*G235),AND(D235=5,H235="Pagas prorrateadas"),1535.9*(F235*G235),AND(D235=5,H235="Pagas no prorrateadas"),1316.49*(F235*G235),AND(D235=7,H235="Pagas prorrateadas"),1493.61*(F235*G235),AND(D235=7,H235="Pagas no prorrateadas"),1280.24*(F235*G235)))</f>
        <v/>
      </c>
      <c r="K235" s="106" t="str">
        <f aca="false">IF(A235="","",IF(J235-I235&gt;=0,"OK",J235-I235))</f>
        <v/>
      </c>
    </row>
    <row r="236" customFormat="false" ht="14.25" hidden="false" customHeight="true" outlineLevel="0" collapsed="false">
      <c r="A236" s="106"/>
      <c r="B236" s="106"/>
      <c r="C236" s="107"/>
      <c r="D236" s="106"/>
      <c r="E236" s="106"/>
      <c r="F236" s="130" t="str">
        <f aca="false">IF(A236="","",MIN(E236/(37.5),1))</f>
        <v/>
      </c>
      <c r="G236" s="108"/>
      <c r="H236" s="106"/>
      <c r="I236" s="107"/>
      <c r="J236" s="131" t="str">
        <f aca="false" t="array" ref="J236:J236">IF(A236="","",ifs(AND(D236=1,H236="Pagas prorrateadas"),2705.41*(F236*G236),AND(D236=1,H236="Pagas no prorrateadas"),2318.93*(F236*G236),AND(D236=2,H236="Pagas prorrateadas"),2246.07*(F236*G236),AND(D236=2,H236="Pagas no prorrateadas"),1925.21*(F236*G236),AND(D236=3,H236="Pagas prorrateadas"),1775.44*(F236*G236),AND(D236=3,H236="Pagas no prorrateadas"),1521.81*(F236*G236),AND(D236=5,H236="Pagas prorrateadas"),1535.9*(F236*G236),AND(D236=5,H236="Pagas no prorrateadas"),1316.49*(F236*G236),AND(D236=7,H236="Pagas prorrateadas"),1493.61*(F236*G236),AND(D236=7,H236="Pagas no prorrateadas"),1280.24*(F236*G236)))</f>
        <v/>
      </c>
      <c r="K236" s="106" t="str">
        <f aca="false">IF(A236="","",IF(J236-I236&gt;=0,"OK",J236-I236))</f>
        <v/>
      </c>
    </row>
    <row r="237" customFormat="false" ht="14.25" hidden="false" customHeight="true" outlineLevel="0" collapsed="false">
      <c r="A237" s="106"/>
      <c r="B237" s="106"/>
      <c r="C237" s="107"/>
      <c r="D237" s="106"/>
      <c r="E237" s="106"/>
      <c r="F237" s="130" t="str">
        <f aca="false">IF(A237="","",MIN(E237/(37.5),1))</f>
        <v/>
      </c>
      <c r="G237" s="108"/>
      <c r="H237" s="106"/>
      <c r="I237" s="107"/>
      <c r="J237" s="131" t="str">
        <f aca="false" t="array" ref="J237:J237">IF(A237="","",ifs(AND(D237=1,H237="Pagas prorrateadas"),2705.41*(F237*G237),AND(D237=1,H237="Pagas no prorrateadas"),2318.93*(F237*G237),AND(D237=2,H237="Pagas prorrateadas"),2246.07*(F237*G237),AND(D237=2,H237="Pagas no prorrateadas"),1925.21*(F237*G237),AND(D237=3,H237="Pagas prorrateadas"),1775.44*(F237*G237),AND(D237=3,H237="Pagas no prorrateadas"),1521.81*(F237*G237),AND(D237=5,H237="Pagas prorrateadas"),1535.9*(F237*G237),AND(D237=5,H237="Pagas no prorrateadas"),1316.49*(F237*G237),AND(D237=7,H237="Pagas prorrateadas"),1493.61*(F237*G237),AND(D237=7,H237="Pagas no prorrateadas"),1280.24*(F237*G237)))</f>
        <v/>
      </c>
      <c r="K237" s="106" t="str">
        <f aca="false">IF(A237="","",IF(J237-I237&gt;=0,"OK",J237-I237))</f>
        <v/>
      </c>
    </row>
    <row r="238" customFormat="false" ht="14.25" hidden="false" customHeight="true" outlineLevel="0" collapsed="false">
      <c r="A238" s="106"/>
      <c r="B238" s="106"/>
      <c r="C238" s="107"/>
      <c r="D238" s="106"/>
      <c r="E238" s="106"/>
      <c r="F238" s="130" t="str">
        <f aca="false">IF(A238="","",MIN(E238/(37.5),1))</f>
        <v/>
      </c>
      <c r="G238" s="108"/>
      <c r="H238" s="106"/>
      <c r="I238" s="107"/>
      <c r="J238" s="131" t="str">
        <f aca="false" t="array" ref="J238:J238">IF(A238="","",ifs(AND(D238=1,H238="Pagas prorrateadas"),2705.41*(F238*G238),AND(D238=1,H238="Pagas no prorrateadas"),2318.93*(F238*G238),AND(D238=2,H238="Pagas prorrateadas"),2246.07*(F238*G238),AND(D238=2,H238="Pagas no prorrateadas"),1925.21*(F238*G238),AND(D238=3,H238="Pagas prorrateadas"),1775.44*(F238*G238),AND(D238=3,H238="Pagas no prorrateadas"),1521.81*(F238*G238),AND(D238=5,H238="Pagas prorrateadas"),1535.9*(F238*G238),AND(D238=5,H238="Pagas no prorrateadas"),1316.49*(F238*G238),AND(D238=7,H238="Pagas prorrateadas"),1493.61*(F238*G238),AND(D238=7,H238="Pagas no prorrateadas"),1280.24*(F238*G238)))</f>
        <v/>
      </c>
      <c r="K238" s="106" t="str">
        <f aca="false">IF(A238="","",IF(J238-I238&gt;=0,"OK",J238-I238))</f>
        <v/>
      </c>
    </row>
    <row r="239" customFormat="false" ht="14.25" hidden="false" customHeight="true" outlineLevel="0" collapsed="false">
      <c r="A239" s="106"/>
      <c r="B239" s="106"/>
      <c r="C239" s="107"/>
      <c r="D239" s="106"/>
      <c r="E239" s="106"/>
      <c r="F239" s="130" t="str">
        <f aca="false">IF(A239="","",MIN(E239/(37.5),1))</f>
        <v/>
      </c>
      <c r="G239" s="108"/>
      <c r="H239" s="106"/>
      <c r="I239" s="107"/>
      <c r="J239" s="131" t="str">
        <f aca="false" t="array" ref="J239:J239">IF(A239="","",ifs(AND(D239=1,H239="Pagas prorrateadas"),2705.41*(F239*G239),AND(D239=1,H239="Pagas no prorrateadas"),2318.93*(F239*G239),AND(D239=2,H239="Pagas prorrateadas"),2246.07*(F239*G239),AND(D239=2,H239="Pagas no prorrateadas"),1925.21*(F239*G239),AND(D239=3,H239="Pagas prorrateadas"),1775.44*(F239*G239),AND(D239=3,H239="Pagas no prorrateadas"),1521.81*(F239*G239),AND(D239=5,H239="Pagas prorrateadas"),1535.9*(F239*G239),AND(D239=5,H239="Pagas no prorrateadas"),1316.49*(F239*G239),AND(D239=7,H239="Pagas prorrateadas"),1493.61*(F239*G239),AND(D239=7,H239="Pagas no prorrateadas"),1280.24*(F239*G239)))</f>
        <v/>
      </c>
      <c r="K239" s="106" t="str">
        <f aca="false">IF(A239="","",IF(J239-I239&gt;=0,"OK",J239-I239))</f>
        <v/>
      </c>
    </row>
    <row r="240" customFormat="false" ht="14.25" hidden="false" customHeight="true" outlineLevel="0" collapsed="false">
      <c r="A240" s="106"/>
      <c r="B240" s="106"/>
      <c r="C240" s="107"/>
      <c r="D240" s="106"/>
      <c r="E240" s="106"/>
      <c r="F240" s="130" t="str">
        <f aca="false">IF(A240="","",MIN(E240/(37.5),1))</f>
        <v/>
      </c>
      <c r="G240" s="108"/>
      <c r="H240" s="106"/>
      <c r="I240" s="107"/>
      <c r="J240" s="131" t="str">
        <f aca="false" t="array" ref="J240:J240">IF(A240="","",ifs(AND(D240=1,H240="Pagas prorrateadas"),2705.41*(F240*G240),AND(D240=1,H240="Pagas no prorrateadas"),2318.93*(F240*G240),AND(D240=2,H240="Pagas prorrateadas"),2246.07*(F240*G240),AND(D240=2,H240="Pagas no prorrateadas"),1925.21*(F240*G240),AND(D240=3,H240="Pagas prorrateadas"),1775.44*(F240*G240),AND(D240=3,H240="Pagas no prorrateadas"),1521.81*(F240*G240),AND(D240=5,H240="Pagas prorrateadas"),1535.9*(F240*G240),AND(D240=5,H240="Pagas no prorrateadas"),1316.49*(F240*G240),AND(D240=7,H240="Pagas prorrateadas"),1493.61*(F240*G240),AND(D240=7,H240="Pagas no prorrateadas"),1280.24*(F240*G240)))</f>
        <v/>
      </c>
      <c r="K240" s="106" t="str">
        <f aca="false">IF(A240="","",IF(J240-I240&gt;=0,"OK",J240-I240))</f>
        <v/>
      </c>
    </row>
    <row r="241" customFormat="false" ht="14.25" hidden="false" customHeight="true" outlineLevel="0" collapsed="false">
      <c r="A241" s="106"/>
      <c r="B241" s="106"/>
      <c r="C241" s="107"/>
      <c r="D241" s="106"/>
      <c r="E241" s="106"/>
      <c r="F241" s="130" t="str">
        <f aca="false">IF(A241="","",MIN(E241/(37.5),1))</f>
        <v/>
      </c>
      <c r="G241" s="108"/>
      <c r="H241" s="106"/>
      <c r="I241" s="107"/>
      <c r="J241" s="131" t="str">
        <f aca="false" t="array" ref="J241:J241">IF(A241="","",ifs(AND(D241=1,H241="Pagas prorrateadas"),2705.41*(F241*G241),AND(D241=1,H241="Pagas no prorrateadas"),2318.93*(F241*G241),AND(D241=2,H241="Pagas prorrateadas"),2246.07*(F241*G241),AND(D241=2,H241="Pagas no prorrateadas"),1925.21*(F241*G241),AND(D241=3,H241="Pagas prorrateadas"),1775.44*(F241*G241),AND(D241=3,H241="Pagas no prorrateadas"),1521.81*(F241*G241),AND(D241=5,H241="Pagas prorrateadas"),1535.9*(F241*G241),AND(D241=5,H241="Pagas no prorrateadas"),1316.49*(F241*G241),AND(D241=7,H241="Pagas prorrateadas"),1493.61*(F241*G241),AND(D241=7,H241="Pagas no prorrateadas"),1280.24*(F241*G241)))</f>
        <v/>
      </c>
      <c r="K241" s="106" t="str">
        <f aca="false">IF(A241="","",IF(J241-I241&gt;=0,"OK",J241-I241))</f>
        <v/>
      </c>
    </row>
    <row r="242" customFormat="false" ht="14.25" hidden="false" customHeight="true" outlineLevel="0" collapsed="false">
      <c r="A242" s="106"/>
      <c r="B242" s="106"/>
      <c r="C242" s="107"/>
      <c r="D242" s="106"/>
      <c r="E242" s="106"/>
      <c r="F242" s="130" t="str">
        <f aca="false">IF(A242="","",MIN(E242/(37.5),1))</f>
        <v/>
      </c>
      <c r="G242" s="108"/>
      <c r="H242" s="106"/>
      <c r="I242" s="107"/>
      <c r="J242" s="131" t="str">
        <f aca="false" t="array" ref="J242:J242">IF(A242="","",ifs(AND(D242=1,H242="Pagas prorrateadas"),2705.41*(F242*G242),AND(D242=1,H242="Pagas no prorrateadas"),2318.93*(F242*G242),AND(D242=2,H242="Pagas prorrateadas"),2246.07*(F242*G242),AND(D242=2,H242="Pagas no prorrateadas"),1925.21*(F242*G242),AND(D242=3,H242="Pagas prorrateadas"),1775.44*(F242*G242),AND(D242=3,H242="Pagas no prorrateadas"),1521.81*(F242*G242),AND(D242=5,H242="Pagas prorrateadas"),1535.9*(F242*G242),AND(D242=5,H242="Pagas no prorrateadas"),1316.49*(F242*G242),AND(D242=7,H242="Pagas prorrateadas"),1493.61*(F242*G242),AND(D242=7,H242="Pagas no prorrateadas"),1280.24*(F242*G242)))</f>
        <v/>
      </c>
      <c r="K242" s="106" t="str">
        <f aca="false">IF(A242="","",IF(J242-I242&gt;=0,"OK",J242-I242))</f>
        <v/>
      </c>
    </row>
    <row r="243" customFormat="false" ht="14.25" hidden="false" customHeight="true" outlineLevel="0" collapsed="false">
      <c r="A243" s="106"/>
      <c r="B243" s="106"/>
      <c r="C243" s="107"/>
      <c r="D243" s="106"/>
      <c r="E243" s="106"/>
      <c r="F243" s="130" t="str">
        <f aca="false">IF(A243="","",MIN(E243/(37.5),1))</f>
        <v/>
      </c>
      <c r="G243" s="108"/>
      <c r="H243" s="106"/>
      <c r="I243" s="107"/>
      <c r="J243" s="131" t="str">
        <f aca="false" t="array" ref="J243:J243">IF(A243="","",ifs(AND(D243=1,H243="Pagas prorrateadas"),2705.41*(F243*G243),AND(D243=1,H243="Pagas no prorrateadas"),2318.93*(F243*G243),AND(D243=2,H243="Pagas prorrateadas"),2246.07*(F243*G243),AND(D243=2,H243="Pagas no prorrateadas"),1925.21*(F243*G243),AND(D243=3,H243="Pagas prorrateadas"),1775.44*(F243*G243),AND(D243=3,H243="Pagas no prorrateadas"),1521.81*(F243*G243),AND(D243=5,H243="Pagas prorrateadas"),1535.9*(F243*G243),AND(D243=5,H243="Pagas no prorrateadas"),1316.49*(F243*G243),AND(D243=7,H243="Pagas prorrateadas"),1493.61*(F243*G243),AND(D243=7,H243="Pagas no prorrateadas"),1280.24*(F243*G243)))</f>
        <v/>
      </c>
      <c r="K243" s="106" t="str">
        <f aca="false">IF(A243="","",IF(J243-I243&gt;=0,"OK",J243-I243))</f>
        <v/>
      </c>
    </row>
    <row r="244" customFormat="false" ht="14.25" hidden="false" customHeight="true" outlineLevel="0" collapsed="false">
      <c r="A244" s="106"/>
      <c r="B244" s="106"/>
      <c r="C244" s="107"/>
      <c r="D244" s="106"/>
      <c r="E244" s="106"/>
      <c r="F244" s="130" t="str">
        <f aca="false">IF(A244="","",MIN(E244/(37.5),1))</f>
        <v/>
      </c>
      <c r="G244" s="108"/>
      <c r="H244" s="106"/>
      <c r="I244" s="107"/>
      <c r="J244" s="131" t="str">
        <f aca="false" t="array" ref="J244:J244">IF(A244="","",ifs(AND(D244=1,H244="Pagas prorrateadas"),2705.41*(F244*G244),AND(D244=1,H244="Pagas no prorrateadas"),2318.93*(F244*G244),AND(D244=2,H244="Pagas prorrateadas"),2246.07*(F244*G244),AND(D244=2,H244="Pagas no prorrateadas"),1925.21*(F244*G244),AND(D244=3,H244="Pagas prorrateadas"),1775.44*(F244*G244),AND(D244=3,H244="Pagas no prorrateadas"),1521.81*(F244*G244),AND(D244=5,H244="Pagas prorrateadas"),1535.9*(F244*G244),AND(D244=5,H244="Pagas no prorrateadas"),1316.49*(F244*G244),AND(D244=7,H244="Pagas prorrateadas"),1493.61*(F244*G244),AND(D244=7,H244="Pagas no prorrateadas"),1280.24*(F244*G244)))</f>
        <v/>
      </c>
      <c r="K244" s="106" t="str">
        <f aca="false">IF(A244="","",IF(J244-I244&gt;=0,"OK",J244-I244))</f>
        <v/>
      </c>
    </row>
    <row r="245" customFormat="false" ht="14.25" hidden="false" customHeight="true" outlineLevel="0" collapsed="false">
      <c r="A245" s="106"/>
      <c r="B245" s="106"/>
      <c r="C245" s="107"/>
      <c r="D245" s="106"/>
      <c r="E245" s="106"/>
      <c r="F245" s="130" t="str">
        <f aca="false">IF(A245="","",MIN(E245/(37.5),1))</f>
        <v/>
      </c>
      <c r="G245" s="108"/>
      <c r="H245" s="106"/>
      <c r="I245" s="107"/>
      <c r="J245" s="131" t="str">
        <f aca="false" t="array" ref="J245:J245">IF(A245="","",ifs(AND(D245=1,H245="Pagas prorrateadas"),2705.41*(F245*G245),AND(D245=1,H245="Pagas no prorrateadas"),2318.93*(F245*G245),AND(D245=2,H245="Pagas prorrateadas"),2246.07*(F245*G245),AND(D245=2,H245="Pagas no prorrateadas"),1925.21*(F245*G245),AND(D245=3,H245="Pagas prorrateadas"),1775.44*(F245*G245),AND(D245=3,H245="Pagas no prorrateadas"),1521.81*(F245*G245),AND(D245=5,H245="Pagas prorrateadas"),1535.9*(F245*G245),AND(D245=5,H245="Pagas no prorrateadas"),1316.49*(F245*G245),AND(D245=7,H245="Pagas prorrateadas"),1493.61*(F245*G245),AND(D245=7,H245="Pagas no prorrateadas"),1280.24*(F245*G245)))</f>
        <v/>
      </c>
      <c r="K245" s="106" t="str">
        <f aca="false">IF(A245="","",IF(J245-I245&gt;=0,"OK",J245-I245))</f>
        <v/>
      </c>
    </row>
    <row r="246" customFormat="false" ht="14.25" hidden="false" customHeight="true" outlineLevel="0" collapsed="false">
      <c r="A246" s="106"/>
      <c r="B246" s="106"/>
      <c r="C246" s="107"/>
      <c r="D246" s="106"/>
      <c r="E246" s="106"/>
      <c r="F246" s="130" t="str">
        <f aca="false">IF(A246="","",MIN(E246/(37.5),1))</f>
        <v/>
      </c>
      <c r="G246" s="108"/>
      <c r="H246" s="106"/>
      <c r="I246" s="107"/>
      <c r="J246" s="131" t="str">
        <f aca="false" t="array" ref="J246:J246">IF(A246="","",ifs(AND(D246=1,H246="Pagas prorrateadas"),2705.41*(F246*G246),AND(D246=1,H246="Pagas no prorrateadas"),2318.93*(F246*G246),AND(D246=2,H246="Pagas prorrateadas"),2246.07*(F246*G246),AND(D246=2,H246="Pagas no prorrateadas"),1925.21*(F246*G246),AND(D246=3,H246="Pagas prorrateadas"),1775.44*(F246*G246),AND(D246=3,H246="Pagas no prorrateadas"),1521.81*(F246*G246),AND(D246=5,H246="Pagas prorrateadas"),1535.9*(F246*G246),AND(D246=5,H246="Pagas no prorrateadas"),1316.49*(F246*G246),AND(D246=7,H246="Pagas prorrateadas"),1493.61*(F246*G246),AND(D246=7,H246="Pagas no prorrateadas"),1280.24*(F246*G246)))</f>
        <v/>
      </c>
      <c r="K246" s="106" t="str">
        <f aca="false">IF(A246="","",IF(J246-I246&gt;=0,"OK",J246-I246))</f>
        <v/>
      </c>
    </row>
    <row r="247" customFormat="false" ht="14.25" hidden="false" customHeight="true" outlineLevel="0" collapsed="false">
      <c r="A247" s="106"/>
      <c r="B247" s="106"/>
      <c r="C247" s="107"/>
      <c r="D247" s="106"/>
      <c r="E247" s="106"/>
      <c r="F247" s="130" t="str">
        <f aca="false">IF(A247="","",MIN(E247/(37.5),1))</f>
        <v/>
      </c>
      <c r="G247" s="108"/>
      <c r="H247" s="106"/>
      <c r="I247" s="107"/>
      <c r="J247" s="131" t="str">
        <f aca="false" t="array" ref="J247:J247">IF(A247="","",ifs(AND(D247=1,H247="Pagas prorrateadas"),2705.41*(F247*G247),AND(D247=1,H247="Pagas no prorrateadas"),2318.93*(F247*G247),AND(D247=2,H247="Pagas prorrateadas"),2246.07*(F247*G247),AND(D247=2,H247="Pagas no prorrateadas"),1925.21*(F247*G247),AND(D247=3,H247="Pagas prorrateadas"),1775.44*(F247*G247),AND(D247=3,H247="Pagas no prorrateadas"),1521.81*(F247*G247),AND(D247=5,H247="Pagas prorrateadas"),1535.9*(F247*G247),AND(D247=5,H247="Pagas no prorrateadas"),1316.49*(F247*G247),AND(D247=7,H247="Pagas prorrateadas"),1493.61*(F247*G247),AND(D247=7,H247="Pagas no prorrateadas"),1280.24*(F247*G247)))</f>
        <v/>
      </c>
      <c r="K247" s="106" t="str">
        <f aca="false">IF(A247="","",IF(J247-I247&gt;=0,"OK",J247-I247))</f>
        <v/>
      </c>
    </row>
    <row r="248" customFormat="false" ht="14.25" hidden="false" customHeight="true" outlineLevel="0" collapsed="false">
      <c r="A248" s="106"/>
      <c r="B248" s="106"/>
      <c r="C248" s="107"/>
      <c r="D248" s="106"/>
      <c r="E248" s="106"/>
      <c r="F248" s="130" t="str">
        <f aca="false">IF(A248="","",MIN(E248/(37.5),1))</f>
        <v/>
      </c>
      <c r="G248" s="108"/>
      <c r="H248" s="106"/>
      <c r="I248" s="107"/>
      <c r="J248" s="131" t="str">
        <f aca="false" t="array" ref="J248:J248">IF(A248="","",ifs(AND(D248=1,H248="Pagas prorrateadas"),2705.41*(F248*G248),AND(D248=1,H248="Pagas no prorrateadas"),2318.93*(F248*G248),AND(D248=2,H248="Pagas prorrateadas"),2246.07*(F248*G248),AND(D248=2,H248="Pagas no prorrateadas"),1925.21*(F248*G248),AND(D248=3,H248="Pagas prorrateadas"),1775.44*(F248*G248),AND(D248=3,H248="Pagas no prorrateadas"),1521.81*(F248*G248),AND(D248=5,H248="Pagas prorrateadas"),1535.9*(F248*G248),AND(D248=5,H248="Pagas no prorrateadas"),1316.49*(F248*G248),AND(D248=7,H248="Pagas prorrateadas"),1493.61*(F248*G248),AND(D248=7,H248="Pagas no prorrateadas"),1280.24*(F248*G248)))</f>
        <v/>
      </c>
      <c r="K248" s="106" t="str">
        <f aca="false">IF(A248="","",IF(J248-I248&gt;=0,"OK",J248-I248))</f>
        <v/>
      </c>
    </row>
    <row r="249" customFormat="false" ht="14.25" hidden="false" customHeight="true" outlineLevel="0" collapsed="false">
      <c r="A249" s="106"/>
      <c r="B249" s="106"/>
      <c r="C249" s="107"/>
      <c r="D249" s="106"/>
      <c r="E249" s="106"/>
      <c r="F249" s="130" t="str">
        <f aca="false">IF(A249="","",MIN(E249/(37.5),1))</f>
        <v/>
      </c>
      <c r="G249" s="108"/>
      <c r="H249" s="106"/>
      <c r="I249" s="107"/>
      <c r="J249" s="131" t="str">
        <f aca="false" t="array" ref="J249:J249">IF(A249="","",ifs(AND(D249=1,H249="Pagas prorrateadas"),2705.41*(F249*G249),AND(D249=1,H249="Pagas no prorrateadas"),2318.93*(F249*G249),AND(D249=2,H249="Pagas prorrateadas"),2246.07*(F249*G249),AND(D249=2,H249="Pagas no prorrateadas"),1925.21*(F249*G249),AND(D249=3,H249="Pagas prorrateadas"),1775.44*(F249*G249),AND(D249=3,H249="Pagas no prorrateadas"),1521.81*(F249*G249),AND(D249=5,H249="Pagas prorrateadas"),1535.9*(F249*G249),AND(D249=5,H249="Pagas no prorrateadas"),1316.49*(F249*G249),AND(D249=7,H249="Pagas prorrateadas"),1493.61*(F249*G249),AND(D249=7,H249="Pagas no prorrateadas"),1280.24*(F249*G249)))</f>
        <v/>
      </c>
      <c r="K249" s="106" t="str">
        <f aca="false">IF(A249="","",IF(J249-I249&gt;=0,"OK",J249-I249))</f>
        <v/>
      </c>
    </row>
    <row r="250" customFormat="false" ht="14.25" hidden="false" customHeight="true" outlineLevel="0" collapsed="false">
      <c r="A250" s="106"/>
      <c r="B250" s="106"/>
      <c r="C250" s="107"/>
      <c r="D250" s="106"/>
      <c r="E250" s="106"/>
      <c r="F250" s="130" t="str">
        <f aca="false">IF(A250="","",MIN(E250/(37.5),1))</f>
        <v/>
      </c>
      <c r="G250" s="108"/>
      <c r="H250" s="106"/>
      <c r="I250" s="107"/>
      <c r="J250" s="131" t="str">
        <f aca="false" t="array" ref="J250:J250">IF(A250="","",ifs(AND(D250=1,H250="Pagas prorrateadas"),2705.41*(F250*G250),AND(D250=1,H250="Pagas no prorrateadas"),2318.93*(F250*G250),AND(D250=2,H250="Pagas prorrateadas"),2246.07*(F250*G250),AND(D250=2,H250="Pagas no prorrateadas"),1925.21*(F250*G250),AND(D250=3,H250="Pagas prorrateadas"),1775.44*(F250*G250),AND(D250=3,H250="Pagas no prorrateadas"),1521.81*(F250*G250),AND(D250=5,H250="Pagas prorrateadas"),1535.9*(F250*G250),AND(D250=5,H250="Pagas no prorrateadas"),1316.49*(F250*G250),AND(D250=7,H250="Pagas prorrateadas"),1493.61*(F250*G250),AND(D250=7,H250="Pagas no prorrateadas"),1280.24*(F250*G250)))</f>
        <v/>
      </c>
      <c r="K250" s="106" t="str">
        <f aca="false">IF(A250="","",IF(J250-I250&gt;=0,"OK",J250-I250))</f>
        <v/>
      </c>
    </row>
    <row r="251" customFormat="false" ht="14.25" hidden="false" customHeight="true" outlineLevel="0" collapsed="false">
      <c r="A251" s="106"/>
      <c r="B251" s="106"/>
      <c r="C251" s="107"/>
      <c r="D251" s="106"/>
      <c r="E251" s="106"/>
      <c r="F251" s="130" t="str">
        <f aca="false">IF(A251="","",MIN(E251/(37.5),1))</f>
        <v/>
      </c>
      <c r="G251" s="108"/>
      <c r="H251" s="106"/>
      <c r="I251" s="107"/>
      <c r="J251" s="131" t="str">
        <f aca="false" t="array" ref="J251:J251">IF(A251="","",ifs(AND(D251=1,H251="Pagas prorrateadas"),2705.41*(F251*G251),AND(D251=1,H251="Pagas no prorrateadas"),2318.93*(F251*G251),AND(D251=2,H251="Pagas prorrateadas"),2246.07*(F251*G251),AND(D251=2,H251="Pagas no prorrateadas"),1925.21*(F251*G251),AND(D251=3,H251="Pagas prorrateadas"),1775.44*(F251*G251),AND(D251=3,H251="Pagas no prorrateadas"),1521.81*(F251*G251),AND(D251=5,H251="Pagas prorrateadas"),1535.9*(F251*G251),AND(D251=5,H251="Pagas no prorrateadas"),1316.49*(F251*G251),AND(D251=7,H251="Pagas prorrateadas"),1493.61*(F251*G251),AND(D251=7,H251="Pagas no prorrateadas"),1280.24*(F251*G251)))</f>
        <v/>
      </c>
      <c r="K251" s="106" t="str">
        <f aca="false">IF(A251="","",IF(J251-I251&gt;=0,"OK",J251-I251))</f>
        <v/>
      </c>
    </row>
    <row r="252" customFormat="false" ht="14.25" hidden="false" customHeight="true" outlineLevel="0" collapsed="false">
      <c r="A252" s="106"/>
      <c r="B252" s="106"/>
      <c r="C252" s="107"/>
      <c r="D252" s="106"/>
      <c r="E252" s="106"/>
      <c r="F252" s="130" t="str">
        <f aca="false">IF(A252="","",MIN(E252/(37.5),1))</f>
        <v/>
      </c>
      <c r="G252" s="108"/>
      <c r="H252" s="106"/>
      <c r="I252" s="107"/>
      <c r="J252" s="131" t="str">
        <f aca="false" t="array" ref="J252:J252">IF(A252="","",ifs(AND(D252=1,H252="Pagas prorrateadas"),2705.41*(F252*G252),AND(D252=1,H252="Pagas no prorrateadas"),2318.93*(F252*G252),AND(D252=2,H252="Pagas prorrateadas"),2246.07*(F252*G252),AND(D252=2,H252="Pagas no prorrateadas"),1925.21*(F252*G252),AND(D252=3,H252="Pagas prorrateadas"),1775.44*(F252*G252),AND(D252=3,H252="Pagas no prorrateadas"),1521.81*(F252*G252),AND(D252=5,H252="Pagas prorrateadas"),1535.9*(F252*G252),AND(D252=5,H252="Pagas no prorrateadas"),1316.49*(F252*G252),AND(D252=7,H252="Pagas prorrateadas"),1493.61*(F252*G252),AND(D252=7,H252="Pagas no prorrateadas"),1280.24*(F252*G252)))</f>
        <v/>
      </c>
      <c r="K252" s="106" t="str">
        <f aca="false">IF(A252="","",IF(J252-I252&gt;=0,"OK",J252-I252))</f>
        <v/>
      </c>
    </row>
    <row r="253" customFormat="false" ht="14.25" hidden="false" customHeight="true" outlineLevel="0" collapsed="false">
      <c r="A253" s="106"/>
      <c r="B253" s="106"/>
      <c r="C253" s="107"/>
      <c r="D253" s="106"/>
      <c r="E253" s="106"/>
      <c r="F253" s="130" t="str">
        <f aca="false">IF(A253="","",MIN(E253/(37.5),1))</f>
        <v/>
      </c>
      <c r="G253" s="108"/>
      <c r="H253" s="106"/>
      <c r="I253" s="107"/>
      <c r="J253" s="131" t="str">
        <f aca="false" t="array" ref="J253:J253">IF(A253="","",ifs(AND(D253=1,H253="Pagas prorrateadas"),2705.41*(F253*G253),AND(D253=1,H253="Pagas no prorrateadas"),2318.93*(F253*G253),AND(D253=2,H253="Pagas prorrateadas"),2246.07*(F253*G253),AND(D253=2,H253="Pagas no prorrateadas"),1925.21*(F253*G253),AND(D253=3,H253="Pagas prorrateadas"),1775.44*(F253*G253),AND(D253=3,H253="Pagas no prorrateadas"),1521.81*(F253*G253),AND(D253=5,H253="Pagas prorrateadas"),1535.9*(F253*G253),AND(D253=5,H253="Pagas no prorrateadas"),1316.49*(F253*G253),AND(D253=7,H253="Pagas prorrateadas"),1493.61*(F253*G253),AND(D253=7,H253="Pagas no prorrateadas"),1280.24*(F253*G253)))</f>
        <v/>
      </c>
      <c r="K253" s="106" t="str">
        <f aca="false">IF(A253="","",IF(J253-I253&gt;=0,"OK",J253-I253))</f>
        <v/>
      </c>
    </row>
    <row r="254" customFormat="false" ht="14.25" hidden="false" customHeight="true" outlineLevel="0" collapsed="false">
      <c r="A254" s="106"/>
      <c r="B254" s="106"/>
      <c r="C254" s="107"/>
      <c r="D254" s="106"/>
      <c r="E254" s="106"/>
      <c r="F254" s="130" t="str">
        <f aca="false">IF(A254="","",MIN(E254/(37.5),1))</f>
        <v/>
      </c>
      <c r="G254" s="108"/>
      <c r="H254" s="106"/>
      <c r="I254" s="107"/>
      <c r="J254" s="131" t="str">
        <f aca="false" t="array" ref="J254:J254">IF(A254="","",ifs(AND(D254=1,H254="Pagas prorrateadas"),2705.41*(F254*G254),AND(D254=1,H254="Pagas no prorrateadas"),2318.93*(F254*G254),AND(D254=2,H254="Pagas prorrateadas"),2246.07*(F254*G254),AND(D254=2,H254="Pagas no prorrateadas"),1925.21*(F254*G254),AND(D254=3,H254="Pagas prorrateadas"),1775.44*(F254*G254),AND(D254=3,H254="Pagas no prorrateadas"),1521.81*(F254*G254),AND(D254=5,H254="Pagas prorrateadas"),1535.9*(F254*G254),AND(D254=5,H254="Pagas no prorrateadas"),1316.49*(F254*G254),AND(D254=7,H254="Pagas prorrateadas"),1493.61*(F254*G254),AND(D254=7,H254="Pagas no prorrateadas"),1280.24*(F254*G254)))</f>
        <v/>
      </c>
      <c r="K254" s="106" t="str">
        <f aca="false">IF(A254="","",IF(J254-I254&gt;=0,"OK",J254-I254))</f>
        <v/>
      </c>
    </row>
    <row r="255" customFormat="false" ht="14.25" hidden="false" customHeight="true" outlineLevel="0" collapsed="false">
      <c r="A255" s="106"/>
      <c r="B255" s="106"/>
      <c r="C255" s="107"/>
      <c r="D255" s="106"/>
      <c r="E255" s="106"/>
      <c r="F255" s="130" t="str">
        <f aca="false">IF(A255="","",MIN(E255/(37.5),1))</f>
        <v/>
      </c>
      <c r="G255" s="108"/>
      <c r="H255" s="106"/>
      <c r="I255" s="107"/>
      <c r="J255" s="131" t="str">
        <f aca="false" t="array" ref="J255:J255">IF(A255="","",ifs(AND(D255=1,H255="Pagas prorrateadas"),2705.41*(F255*G255),AND(D255=1,H255="Pagas no prorrateadas"),2318.93*(F255*G255),AND(D255=2,H255="Pagas prorrateadas"),2246.07*(F255*G255),AND(D255=2,H255="Pagas no prorrateadas"),1925.21*(F255*G255),AND(D255=3,H255="Pagas prorrateadas"),1775.44*(F255*G255),AND(D255=3,H255="Pagas no prorrateadas"),1521.81*(F255*G255),AND(D255=5,H255="Pagas prorrateadas"),1535.9*(F255*G255),AND(D255=5,H255="Pagas no prorrateadas"),1316.49*(F255*G255),AND(D255=7,H255="Pagas prorrateadas"),1493.61*(F255*G255),AND(D255=7,H255="Pagas no prorrateadas"),1280.24*(F255*G255)))</f>
        <v/>
      </c>
      <c r="K255" s="106" t="str">
        <f aca="false">IF(A255="","",IF(J255-I255&gt;=0,"OK",J255-I255))</f>
        <v/>
      </c>
    </row>
    <row r="256" customFormat="false" ht="14.25" hidden="false" customHeight="true" outlineLevel="0" collapsed="false">
      <c r="A256" s="106"/>
      <c r="B256" s="106"/>
      <c r="C256" s="107"/>
      <c r="D256" s="106"/>
      <c r="E256" s="106"/>
      <c r="F256" s="130" t="str">
        <f aca="false">IF(A256="","",MIN(E256/(37.5),1))</f>
        <v/>
      </c>
      <c r="G256" s="108"/>
      <c r="H256" s="106"/>
      <c r="I256" s="107"/>
      <c r="J256" s="131" t="str">
        <f aca="false" t="array" ref="J256:J256">IF(A256="","",ifs(AND(D256=1,H256="Pagas prorrateadas"),2705.41*(F256*G256),AND(D256=1,H256="Pagas no prorrateadas"),2318.93*(F256*G256),AND(D256=2,H256="Pagas prorrateadas"),2246.07*(F256*G256),AND(D256=2,H256="Pagas no prorrateadas"),1925.21*(F256*G256),AND(D256=3,H256="Pagas prorrateadas"),1775.44*(F256*G256),AND(D256=3,H256="Pagas no prorrateadas"),1521.81*(F256*G256),AND(D256=5,H256="Pagas prorrateadas"),1535.9*(F256*G256),AND(D256=5,H256="Pagas no prorrateadas"),1316.49*(F256*G256),AND(D256=7,H256="Pagas prorrateadas"),1493.61*(F256*G256),AND(D256=7,H256="Pagas no prorrateadas"),1280.24*(F256*G256)))</f>
        <v/>
      </c>
      <c r="K256" s="106" t="str">
        <f aca="false">IF(A256="","",IF(J256-I256&gt;=0,"OK",J256-I256))</f>
        <v/>
      </c>
    </row>
    <row r="257" customFormat="false" ht="14.25" hidden="false" customHeight="true" outlineLevel="0" collapsed="false">
      <c r="A257" s="106"/>
      <c r="B257" s="106"/>
      <c r="C257" s="107"/>
      <c r="D257" s="106"/>
      <c r="E257" s="106"/>
      <c r="F257" s="130" t="str">
        <f aca="false">IF(A257="","",MIN(E257/(37.5),1))</f>
        <v/>
      </c>
      <c r="G257" s="108"/>
      <c r="H257" s="106"/>
      <c r="I257" s="107"/>
      <c r="J257" s="131" t="str">
        <f aca="false" t="array" ref="J257:J257">IF(A257="","",ifs(AND(D257=1,H257="Pagas prorrateadas"),2705.41*(F257*G257),AND(D257=1,H257="Pagas no prorrateadas"),2318.93*(F257*G257),AND(D257=2,H257="Pagas prorrateadas"),2246.07*(F257*G257),AND(D257=2,H257="Pagas no prorrateadas"),1925.21*(F257*G257),AND(D257=3,H257="Pagas prorrateadas"),1775.44*(F257*G257),AND(D257=3,H257="Pagas no prorrateadas"),1521.81*(F257*G257),AND(D257=5,H257="Pagas prorrateadas"),1535.9*(F257*G257),AND(D257=5,H257="Pagas no prorrateadas"),1316.49*(F257*G257),AND(D257=7,H257="Pagas prorrateadas"),1493.61*(F257*G257),AND(D257=7,H257="Pagas no prorrateadas"),1280.24*(F257*G257)))</f>
        <v/>
      </c>
      <c r="K257" s="106" t="str">
        <f aca="false">IF(A257="","",IF(J257-I257&gt;=0,"OK",J257-I257))</f>
        <v/>
      </c>
    </row>
    <row r="258" customFormat="false" ht="14.25" hidden="false" customHeight="true" outlineLevel="0" collapsed="false">
      <c r="A258" s="106"/>
      <c r="B258" s="106"/>
      <c r="C258" s="107"/>
      <c r="D258" s="106"/>
      <c r="E258" s="106"/>
      <c r="F258" s="130" t="str">
        <f aca="false">IF(A258="","",MIN(E258/(37.5),1))</f>
        <v/>
      </c>
      <c r="G258" s="108"/>
      <c r="H258" s="106"/>
      <c r="I258" s="107"/>
      <c r="J258" s="131" t="str">
        <f aca="false" t="array" ref="J258:J258">IF(A258="","",ifs(AND(D258=1,H258="Pagas prorrateadas"),2705.41*(F258*G258),AND(D258=1,H258="Pagas no prorrateadas"),2318.93*(F258*G258),AND(D258=2,H258="Pagas prorrateadas"),2246.07*(F258*G258),AND(D258=2,H258="Pagas no prorrateadas"),1925.21*(F258*G258),AND(D258=3,H258="Pagas prorrateadas"),1775.44*(F258*G258),AND(D258=3,H258="Pagas no prorrateadas"),1521.81*(F258*G258),AND(D258=5,H258="Pagas prorrateadas"),1535.9*(F258*G258),AND(D258=5,H258="Pagas no prorrateadas"),1316.49*(F258*G258),AND(D258=7,H258="Pagas prorrateadas"),1493.61*(F258*G258),AND(D258=7,H258="Pagas no prorrateadas"),1280.24*(F258*G258)))</f>
        <v/>
      </c>
      <c r="K258" s="106" t="str">
        <f aca="false">IF(A258="","",IF(J258-I258&gt;=0,"OK",J258-I258))</f>
        <v/>
      </c>
    </row>
    <row r="259" customFormat="false" ht="14.25" hidden="false" customHeight="true" outlineLevel="0" collapsed="false">
      <c r="A259" s="106"/>
      <c r="B259" s="106"/>
      <c r="C259" s="107"/>
      <c r="D259" s="106"/>
      <c r="E259" s="106"/>
      <c r="F259" s="130" t="str">
        <f aca="false">IF(A259="","",MIN(E259/(37.5),1))</f>
        <v/>
      </c>
      <c r="G259" s="108"/>
      <c r="H259" s="106"/>
      <c r="I259" s="107"/>
      <c r="J259" s="131" t="str">
        <f aca="false" t="array" ref="J259:J259">IF(A259="","",ifs(AND(D259=1,H259="Pagas prorrateadas"),2705.41*(F259*G259),AND(D259=1,H259="Pagas no prorrateadas"),2318.93*(F259*G259),AND(D259=2,H259="Pagas prorrateadas"),2246.07*(F259*G259),AND(D259=2,H259="Pagas no prorrateadas"),1925.21*(F259*G259),AND(D259=3,H259="Pagas prorrateadas"),1775.44*(F259*G259),AND(D259=3,H259="Pagas no prorrateadas"),1521.81*(F259*G259),AND(D259=5,H259="Pagas prorrateadas"),1535.9*(F259*G259),AND(D259=5,H259="Pagas no prorrateadas"),1316.49*(F259*G259),AND(D259=7,H259="Pagas prorrateadas"),1493.61*(F259*G259),AND(D259=7,H259="Pagas no prorrateadas"),1280.24*(F259*G259)))</f>
        <v/>
      </c>
      <c r="K259" s="106" t="str">
        <f aca="false">IF(A259="","",IF(J259-I259&gt;=0,"OK",J259-I259))</f>
        <v/>
      </c>
    </row>
    <row r="260" customFormat="false" ht="14.25" hidden="false" customHeight="true" outlineLevel="0" collapsed="false">
      <c r="A260" s="106"/>
      <c r="B260" s="106"/>
      <c r="C260" s="107"/>
      <c r="D260" s="106"/>
      <c r="E260" s="106"/>
      <c r="F260" s="130" t="str">
        <f aca="false">IF(A260="","",MIN(E260/(37.5),1))</f>
        <v/>
      </c>
      <c r="G260" s="108"/>
      <c r="H260" s="106"/>
      <c r="I260" s="107"/>
      <c r="J260" s="131" t="str">
        <f aca="false" t="array" ref="J260:J260">IF(A260="","",ifs(AND(D260=1,H260="Pagas prorrateadas"),2705.41*(F260*G260),AND(D260=1,H260="Pagas no prorrateadas"),2318.93*(F260*G260),AND(D260=2,H260="Pagas prorrateadas"),2246.07*(F260*G260),AND(D260=2,H260="Pagas no prorrateadas"),1925.21*(F260*G260),AND(D260=3,H260="Pagas prorrateadas"),1775.44*(F260*G260),AND(D260=3,H260="Pagas no prorrateadas"),1521.81*(F260*G260),AND(D260=5,H260="Pagas prorrateadas"),1535.9*(F260*G260),AND(D260=5,H260="Pagas no prorrateadas"),1316.49*(F260*G260),AND(D260=7,H260="Pagas prorrateadas"),1493.61*(F260*G260),AND(D260=7,H260="Pagas no prorrateadas"),1280.24*(F260*G260)))</f>
        <v/>
      </c>
      <c r="K260" s="106" t="str">
        <f aca="false">IF(A260="","",IF(J260-I260&gt;=0,"OK",J260-I260))</f>
        <v/>
      </c>
    </row>
    <row r="261" customFormat="false" ht="14.25" hidden="false" customHeight="true" outlineLevel="0" collapsed="false">
      <c r="A261" s="106"/>
      <c r="B261" s="106"/>
      <c r="C261" s="107"/>
      <c r="D261" s="106"/>
      <c r="E261" s="106"/>
      <c r="F261" s="130" t="str">
        <f aca="false">IF(A261="","",MIN(E261/(37.5),1))</f>
        <v/>
      </c>
      <c r="G261" s="108"/>
      <c r="H261" s="106"/>
      <c r="I261" s="107"/>
      <c r="J261" s="131" t="str">
        <f aca="false" t="array" ref="J261:J261">IF(A261="","",ifs(AND(D261=1,H261="Pagas prorrateadas"),2705.41*(F261*G261),AND(D261=1,H261="Pagas no prorrateadas"),2318.93*(F261*G261),AND(D261=2,H261="Pagas prorrateadas"),2246.07*(F261*G261),AND(D261=2,H261="Pagas no prorrateadas"),1925.21*(F261*G261),AND(D261=3,H261="Pagas prorrateadas"),1775.44*(F261*G261),AND(D261=3,H261="Pagas no prorrateadas"),1521.81*(F261*G261),AND(D261=5,H261="Pagas prorrateadas"),1535.9*(F261*G261),AND(D261=5,H261="Pagas no prorrateadas"),1316.49*(F261*G261),AND(D261=7,H261="Pagas prorrateadas"),1493.61*(F261*G261),AND(D261=7,H261="Pagas no prorrateadas"),1280.24*(F261*G261)))</f>
        <v/>
      </c>
      <c r="K261" s="106" t="str">
        <f aca="false">IF(A261="","",IF(J261-I261&gt;=0,"OK",J261-I261))</f>
        <v/>
      </c>
    </row>
    <row r="262" customFormat="false" ht="14.25" hidden="false" customHeight="true" outlineLevel="0" collapsed="false">
      <c r="A262" s="106"/>
      <c r="B262" s="106"/>
      <c r="C262" s="107"/>
      <c r="D262" s="106"/>
      <c r="E262" s="106"/>
      <c r="F262" s="130" t="str">
        <f aca="false">IF(A262="","",MIN(E262/(37.5),1))</f>
        <v/>
      </c>
      <c r="G262" s="108"/>
      <c r="H262" s="106"/>
      <c r="I262" s="107"/>
      <c r="J262" s="131" t="str">
        <f aca="false" t="array" ref="J262:J262">IF(A262="","",ifs(AND(D262=1,H262="Pagas prorrateadas"),2705.41*(F262*G262),AND(D262=1,H262="Pagas no prorrateadas"),2318.93*(F262*G262),AND(D262=2,H262="Pagas prorrateadas"),2246.07*(F262*G262),AND(D262=2,H262="Pagas no prorrateadas"),1925.21*(F262*G262),AND(D262=3,H262="Pagas prorrateadas"),1775.44*(F262*G262),AND(D262=3,H262="Pagas no prorrateadas"),1521.81*(F262*G262),AND(D262=5,H262="Pagas prorrateadas"),1535.9*(F262*G262),AND(D262=5,H262="Pagas no prorrateadas"),1316.49*(F262*G262),AND(D262=7,H262="Pagas prorrateadas"),1493.61*(F262*G262),AND(D262=7,H262="Pagas no prorrateadas"),1280.24*(F262*G262)))</f>
        <v/>
      </c>
      <c r="K262" s="106" t="str">
        <f aca="false">IF(A262="","",IF(J262-I262&gt;=0,"OK",J262-I262))</f>
        <v/>
      </c>
    </row>
    <row r="263" customFormat="false" ht="14.25" hidden="false" customHeight="true" outlineLevel="0" collapsed="false">
      <c r="A263" s="106"/>
      <c r="B263" s="106"/>
      <c r="C263" s="107"/>
      <c r="D263" s="106"/>
      <c r="E263" s="106"/>
      <c r="F263" s="130" t="str">
        <f aca="false">IF(A263="","",MIN(E263/(37.5),1))</f>
        <v/>
      </c>
      <c r="G263" s="108"/>
      <c r="H263" s="106"/>
      <c r="I263" s="107"/>
      <c r="J263" s="131" t="str">
        <f aca="false" t="array" ref="J263:J263">IF(A263="","",ifs(AND(D263=1,H263="Pagas prorrateadas"),2705.41*(F263*G263),AND(D263=1,H263="Pagas no prorrateadas"),2318.93*(F263*G263),AND(D263=2,H263="Pagas prorrateadas"),2246.07*(F263*G263),AND(D263=2,H263="Pagas no prorrateadas"),1925.21*(F263*G263),AND(D263=3,H263="Pagas prorrateadas"),1775.44*(F263*G263),AND(D263=3,H263="Pagas no prorrateadas"),1521.81*(F263*G263),AND(D263=5,H263="Pagas prorrateadas"),1535.9*(F263*G263),AND(D263=5,H263="Pagas no prorrateadas"),1316.49*(F263*G263),AND(D263=7,H263="Pagas prorrateadas"),1493.61*(F263*G263),AND(D263=7,H263="Pagas no prorrateadas"),1280.24*(F263*G263)))</f>
        <v/>
      </c>
      <c r="K263" s="106" t="str">
        <f aca="false">IF(A263="","",IF(J263-I263&gt;=0,"OK",J263-I263))</f>
        <v/>
      </c>
    </row>
    <row r="264" customFormat="false" ht="14.25" hidden="false" customHeight="true" outlineLevel="0" collapsed="false">
      <c r="A264" s="106"/>
      <c r="B264" s="106"/>
      <c r="C264" s="107"/>
      <c r="D264" s="106"/>
      <c r="E264" s="106"/>
      <c r="F264" s="130" t="str">
        <f aca="false">IF(A264="","",MIN(E264/(37.5),1))</f>
        <v/>
      </c>
      <c r="G264" s="108"/>
      <c r="H264" s="106"/>
      <c r="I264" s="107"/>
      <c r="J264" s="131" t="str">
        <f aca="false" t="array" ref="J264:J264">IF(A264="","",ifs(AND(D264=1,H264="Pagas prorrateadas"),2705.41*(F264*G264),AND(D264=1,H264="Pagas no prorrateadas"),2318.93*(F264*G264),AND(D264=2,H264="Pagas prorrateadas"),2246.07*(F264*G264),AND(D264=2,H264="Pagas no prorrateadas"),1925.21*(F264*G264),AND(D264=3,H264="Pagas prorrateadas"),1775.44*(F264*G264),AND(D264=3,H264="Pagas no prorrateadas"),1521.81*(F264*G264),AND(D264=5,H264="Pagas prorrateadas"),1535.9*(F264*G264),AND(D264=5,H264="Pagas no prorrateadas"),1316.49*(F264*G264),AND(D264=7,H264="Pagas prorrateadas"),1493.61*(F264*G264),AND(D264=7,H264="Pagas no prorrateadas"),1280.24*(F264*G264)))</f>
        <v/>
      </c>
      <c r="K264" s="106" t="str">
        <f aca="false">IF(A264="","",IF(J264-I264&gt;=0,"OK",J264-I264))</f>
        <v/>
      </c>
    </row>
    <row r="265" customFormat="false" ht="14.25" hidden="false" customHeight="true" outlineLevel="0" collapsed="false">
      <c r="A265" s="106"/>
      <c r="B265" s="106"/>
      <c r="C265" s="107"/>
      <c r="D265" s="106"/>
      <c r="E265" s="106"/>
      <c r="F265" s="130" t="str">
        <f aca="false">IF(A265="","",MIN(E265/(37.5),1))</f>
        <v/>
      </c>
      <c r="G265" s="108"/>
      <c r="H265" s="106"/>
      <c r="I265" s="107"/>
      <c r="J265" s="131" t="str">
        <f aca="false" t="array" ref="J265:J265">IF(A265="","",ifs(AND(D265=1,H265="Pagas prorrateadas"),2705.41*(F265*G265),AND(D265=1,H265="Pagas no prorrateadas"),2318.93*(F265*G265),AND(D265=2,H265="Pagas prorrateadas"),2246.07*(F265*G265),AND(D265=2,H265="Pagas no prorrateadas"),1925.21*(F265*G265),AND(D265=3,H265="Pagas prorrateadas"),1775.44*(F265*G265),AND(D265=3,H265="Pagas no prorrateadas"),1521.81*(F265*G265),AND(D265=5,H265="Pagas prorrateadas"),1535.9*(F265*G265),AND(D265=5,H265="Pagas no prorrateadas"),1316.49*(F265*G265),AND(D265=7,H265="Pagas prorrateadas"),1493.61*(F265*G265),AND(D265=7,H265="Pagas no prorrateadas"),1280.24*(F265*G265)))</f>
        <v/>
      </c>
      <c r="K265" s="106" t="str">
        <f aca="false">IF(A265="","",IF(J265-I265&gt;=0,"OK",J265-I265))</f>
        <v/>
      </c>
    </row>
    <row r="266" customFormat="false" ht="14.25" hidden="false" customHeight="true" outlineLevel="0" collapsed="false">
      <c r="A266" s="106"/>
      <c r="B266" s="106"/>
      <c r="C266" s="107"/>
      <c r="D266" s="106"/>
      <c r="E266" s="106"/>
      <c r="F266" s="130" t="str">
        <f aca="false">IF(A266="","",MIN(E266/(37.5),1))</f>
        <v/>
      </c>
      <c r="G266" s="108"/>
      <c r="H266" s="106"/>
      <c r="I266" s="107"/>
      <c r="J266" s="131" t="str">
        <f aca="false" t="array" ref="J266:J266">IF(A266="","",ifs(AND(D266=1,H266="Pagas prorrateadas"),2705.41*(F266*G266),AND(D266=1,H266="Pagas no prorrateadas"),2318.93*(F266*G266),AND(D266=2,H266="Pagas prorrateadas"),2246.07*(F266*G266),AND(D266=2,H266="Pagas no prorrateadas"),1925.21*(F266*G266),AND(D266=3,H266="Pagas prorrateadas"),1775.44*(F266*G266),AND(D266=3,H266="Pagas no prorrateadas"),1521.81*(F266*G266),AND(D266=5,H266="Pagas prorrateadas"),1535.9*(F266*G266),AND(D266=5,H266="Pagas no prorrateadas"),1316.49*(F266*G266),AND(D266=7,H266="Pagas prorrateadas"),1493.61*(F266*G266),AND(D266=7,H266="Pagas no prorrateadas"),1280.24*(F266*G266)))</f>
        <v/>
      </c>
      <c r="K266" s="106" t="str">
        <f aca="false">IF(A266="","",IF(J266-I266&gt;=0,"OK",J266-I266))</f>
        <v/>
      </c>
    </row>
    <row r="267" customFormat="false" ht="14.25" hidden="false" customHeight="true" outlineLevel="0" collapsed="false">
      <c r="A267" s="106"/>
      <c r="B267" s="106"/>
      <c r="C267" s="107"/>
      <c r="D267" s="106"/>
      <c r="E267" s="106"/>
      <c r="F267" s="130" t="str">
        <f aca="false">IF(A267="","",MIN(E267/(37.5),1))</f>
        <v/>
      </c>
      <c r="G267" s="108"/>
      <c r="H267" s="106"/>
      <c r="I267" s="107"/>
      <c r="J267" s="131" t="str">
        <f aca="false" t="array" ref="J267:J267">IF(A267="","",ifs(AND(D267=1,H267="Pagas prorrateadas"),2705.41*(F267*G267),AND(D267=1,H267="Pagas no prorrateadas"),2318.93*(F267*G267),AND(D267=2,H267="Pagas prorrateadas"),2246.07*(F267*G267),AND(D267=2,H267="Pagas no prorrateadas"),1925.21*(F267*G267),AND(D267=3,H267="Pagas prorrateadas"),1775.44*(F267*G267),AND(D267=3,H267="Pagas no prorrateadas"),1521.81*(F267*G267),AND(D267=5,H267="Pagas prorrateadas"),1535.9*(F267*G267),AND(D267=5,H267="Pagas no prorrateadas"),1316.49*(F267*G267),AND(D267=7,H267="Pagas prorrateadas"),1493.61*(F267*G267),AND(D267=7,H267="Pagas no prorrateadas"),1280.24*(F267*G267)))</f>
        <v/>
      </c>
      <c r="K267" s="106" t="str">
        <f aca="false">IF(A267="","",IF(J267-I267&gt;=0,"OK",J267-I267))</f>
        <v/>
      </c>
    </row>
    <row r="268" customFormat="false" ht="14.25" hidden="false" customHeight="true" outlineLevel="0" collapsed="false">
      <c r="A268" s="106"/>
      <c r="B268" s="106"/>
      <c r="C268" s="107"/>
      <c r="D268" s="106"/>
      <c r="E268" s="106"/>
      <c r="F268" s="130" t="str">
        <f aca="false">IF(A268="","",MIN(E268/(37.5),1))</f>
        <v/>
      </c>
      <c r="G268" s="108"/>
      <c r="H268" s="106"/>
      <c r="I268" s="107"/>
      <c r="J268" s="131" t="str">
        <f aca="false" t="array" ref="J268:J268">IF(A268="","",ifs(AND(D268=1,H268="Pagas prorrateadas"),2705.41*(F268*G268),AND(D268=1,H268="Pagas no prorrateadas"),2318.93*(F268*G268),AND(D268=2,H268="Pagas prorrateadas"),2246.07*(F268*G268),AND(D268=2,H268="Pagas no prorrateadas"),1925.21*(F268*G268),AND(D268=3,H268="Pagas prorrateadas"),1775.44*(F268*G268),AND(D268=3,H268="Pagas no prorrateadas"),1521.81*(F268*G268),AND(D268=5,H268="Pagas prorrateadas"),1535.9*(F268*G268),AND(D268=5,H268="Pagas no prorrateadas"),1316.49*(F268*G268),AND(D268=7,H268="Pagas prorrateadas"),1493.61*(F268*G268),AND(D268=7,H268="Pagas no prorrateadas"),1280.24*(F268*G268)))</f>
        <v/>
      </c>
      <c r="K268" s="106" t="str">
        <f aca="false">IF(A268="","",IF(J268-I268&gt;=0,"OK",J268-I268))</f>
        <v/>
      </c>
    </row>
    <row r="269" customFormat="false" ht="14.25" hidden="false" customHeight="true" outlineLevel="0" collapsed="false">
      <c r="A269" s="106"/>
      <c r="B269" s="106"/>
      <c r="C269" s="107"/>
      <c r="D269" s="106"/>
      <c r="E269" s="106"/>
      <c r="F269" s="130" t="str">
        <f aca="false">IF(A269="","",MIN(E269/(37.5),1))</f>
        <v/>
      </c>
      <c r="G269" s="108"/>
      <c r="H269" s="106"/>
      <c r="I269" s="107"/>
      <c r="J269" s="131" t="str">
        <f aca="false" t="array" ref="J269:J269">IF(A269="","",ifs(AND(D269=1,H269="Pagas prorrateadas"),2705.41*(F269*G269),AND(D269=1,H269="Pagas no prorrateadas"),2318.93*(F269*G269),AND(D269=2,H269="Pagas prorrateadas"),2246.07*(F269*G269),AND(D269=2,H269="Pagas no prorrateadas"),1925.21*(F269*G269),AND(D269=3,H269="Pagas prorrateadas"),1775.44*(F269*G269),AND(D269=3,H269="Pagas no prorrateadas"),1521.81*(F269*G269),AND(D269=5,H269="Pagas prorrateadas"),1535.9*(F269*G269),AND(D269=5,H269="Pagas no prorrateadas"),1316.49*(F269*G269),AND(D269=7,H269="Pagas prorrateadas"),1493.61*(F269*G269),AND(D269=7,H269="Pagas no prorrateadas"),1280.24*(F269*G269)))</f>
        <v/>
      </c>
      <c r="K269" s="106" t="str">
        <f aca="false">IF(A269="","",IF(J269-I269&gt;=0,"OK",J269-I269))</f>
        <v/>
      </c>
    </row>
    <row r="270" customFormat="false" ht="14.25" hidden="false" customHeight="true" outlineLevel="0" collapsed="false">
      <c r="A270" s="106"/>
      <c r="B270" s="106"/>
      <c r="C270" s="107"/>
      <c r="D270" s="106"/>
      <c r="E270" s="106"/>
      <c r="F270" s="130" t="str">
        <f aca="false">IF(A270="","",MIN(E270/(37.5),1))</f>
        <v/>
      </c>
      <c r="G270" s="108"/>
      <c r="H270" s="106"/>
      <c r="I270" s="107"/>
      <c r="J270" s="131" t="str">
        <f aca="false" t="array" ref="J270:J270">IF(A270="","",ifs(AND(D270=1,H270="Pagas prorrateadas"),2705.41*(F270*G270),AND(D270=1,H270="Pagas no prorrateadas"),2318.93*(F270*G270),AND(D270=2,H270="Pagas prorrateadas"),2246.07*(F270*G270),AND(D270=2,H270="Pagas no prorrateadas"),1925.21*(F270*G270),AND(D270=3,H270="Pagas prorrateadas"),1775.44*(F270*G270),AND(D270=3,H270="Pagas no prorrateadas"),1521.81*(F270*G270),AND(D270=5,H270="Pagas prorrateadas"),1535.9*(F270*G270),AND(D270=5,H270="Pagas no prorrateadas"),1316.49*(F270*G270),AND(D270=7,H270="Pagas prorrateadas"),1493.61*(F270*G270),AND(D270=7,H270="Pagas no prorrateadas"),1280.24*(F270*G270)))</f>
        <v/>
      </c>
      <c r="K270" s="106" t="str">
        <f aca="false">IF(A270="","",IF(J270-I270&gt;=0,"OK",J270-I270))</f>
        <v/>
      </c>
    </row>
    <row r="271" customFormat="false" ht="14.25" hidden="false" customHeight="true" outlineLevel="0" collapsed="false">
      <c r="A271" s="106"/>
      <c r="B271" s="106"/>
      <c r="C271" s="107"/>
      <c r="D271" s="106"/>
      <c r="E271" s="106"/>
      <c r="F271" s="130" t="str">
        <f aca="false">IF(A271="","",MIN(E271/(37.5),1))</f>
        <v/>
      </c>
      <c r="G271" s="108"/>
      <c r="H271" s="106"/>
      <c r="I271" s="107"/>
      <c r="J271" s="131" t="str">
        <f aca="false" t="array" ref="J271:J271">IF(A271="","",ifs(AND(D271=1,H271="Pagas prorrateadas"),2705.41*(F271*G271),AND(D271=1,H271="Pagas no prorrateadas"),2318.93*(F271*G271),AND(D271=2,H271="Pagas prorrateadas"),2246.07*(F271*G271),AND(D271=2,H271="Pagas no prorrateadas"),1925.21*(F271*G271),AND(D271=3,H271="Pagas prorrateadas"),1775.44*(F271*G271),AND(D271=3,H271="Pagas no prorrateadas"),1521.81*(F271*G271),AND(D271=5,H271="Pagas prorrateadas"),1535.9*(F271*G271),AND(D271=5,H271="Pagas no prorrateadas"),1316.49*(F271*G271),AND(D271=7,H271="Pagas prorrateadas"),1493.61*(F271*G271),AND(D271=7,H271="Pagas no prorrateadas"),1280.24*(F271*G271)))</f>
        <v/>
      </c>
      <c r="K271" s="106" t="str">
        <f aca="false">IF(A271="","",IF(J271-I271&gt;=0,"OK",J271-I271))</f>
        <v/>
      </c>
    </row>
    <row r="272" customFormat="false" ht="14.25" hidden="false" customHeight="true" outlineLevel="0" collapsed="false">
      <c r="A272" s="106"/>
      <c r="B272" s="106"/>
      <c r="C272" s="107"/>
      <c r="D272" s="106"/>
      <c r="E272" s="106"/>
      <c r="F272" s="130" t="str">
        <f aca="false">IF(A272="","",MIN(E272/(37.5),1))</f>
        <v/>
      </c>
      <c r="G272" s="108"/>
      <c r="H272" s="106"/>
      <c r="I272" s="107"/>
      <c r="J272" s="131" t="str">
        <f aca="false" t="array" ref="J272:J272">IF(A272="","",ifs(AND(D272=1,H272="Pagas prorrateadas"),2705.41*(F272*G272),AND(D272=1,H272="Pagas no prorrateadas"),2318.93*(F272*G272),AND(D272=2,H272="Pagas prorrateadas"),2246.07*(F272*G272),AND(D272=2,H272="Pagas no prorrateadas"),1925.21*(F272*G272),AND(D272=3,H272="Pagas prorrateadas"),1775.44*(F272*G272),AND(D272=3,H272="Pagas no prorrateadas"),1521.81*(F272*G272),AND(D272=5,H272="Pagas prorrateadas"),1535.9*(F272*G272),AND(D272=5,H272="Pagas no prorrateadas"),1316.49*(F272*G272),AND(D272=7,H272="Pagas prorrateadas"),1493.61*(F272*G272),AND(D272=7,H272="Pagas no prorrateadas"),1280.24*(F272*G272)))</f>
        <v/>
      </c>
      <c r="K272" s="106" t="str">
        <f aca="false">IF(A272="","",IF(J272-I272&gt;=0,"OK",J272-I272))</f>
        <v/>
      </c>
    </row>
    <row r="273" customFormat="false" ht="14.25" hidden="false" customHeight="true" outlineLevel="0" collapsed="false">
      <c r="A273" s="106"/>
      <c r="B273" s="106"/>
      <c r="C273" s="107"/>
      <c r="D273" s="106"/>
      <c r="E273" s="106"/>
      <c r="F273" s="130" t="str">
        <f aca="false">IF(A273="","",MIN(E273/(37.5),1))</f>
        <v/>
      </c>
      <c r="G273" s="108"/>
      <c r="H273" s="106"/>
      <c r="I273" s="107"/>
      <c r="J273" s="131" t="str">
        <f aca="false" t="array" ref="J273:J273">IF(A273="","",ifs(AND(D273=1,H273="Pagas prorrateadas"),2705.41*(F273*G273),AND(D273=1,H273="Pagas no prorrateadas"),2318.93*(F273*G273),AND(D273=2,H273="Pagas prorrateadas"),2246.07*(F273*G273),AND(D273=2,H273="Pagas no prorrateadas"),1925.21*(F273*G273),AND(D273=3,H273="Pagas prorrateadas"),1775.44*(F273*G273),AND(D273=3,H273="Pagas no prorrateadas"),1521.81*(F273*G273),AND(D273=5,H273="Pagas prorrateadas"),1535.9*(F273*G273),AND(D273=5,H273="Pagas no prorrateadas"),1316.49*(F273*G273),AND(D273=7,H273="Pagas prorrateadas"),1493.61*(F273*G273),AND(D273=7,H273="Pagas no prorrateadas"),1280.24*(F273*G273)))</f>
        <v/>
      </c>
      <c r="K273" s="106" t="str">
        <f aca="false">IF(A273="","",IF(J273-I273&gt;=0,"OK",J273-I273))</f>
        <v/>
      </c>
    </row>
    <row r="274" customFormat="false" ht="14.25" hidden="false" customHeight="true" outlineLevel="0" collapsed="false">
      <c r="A274" s="106"/>
      <c r="B274" s="106"/>
      <c r="C274" s="107"/>
      <c r="D274" s="106"/>
      <c r="E274" s="106"/>
      <c r="F274" s="130" t="str">
        <f aca="false">IF(A274="","",MIN(E274/(37.5),1))</f>
        <v/>
      </c>
      <c r="G274" s="108"/>
      <c r="H274" s="106"/>
      <c r="I274" s="107"/>
      <c r="J274" s="131" t="str">
        <f aca="false" t="array" ref="J274:J274">IF(A274="","",ifs(AND(D274=1,H274="Pagas prorrateadas"),2705.41*(F274*G274),AND(D274=1,H274="Pagas no prorrateadas"),2318.93*(F274*G274),AND(D274=2,H274="Pagas prorrateadas"),2246.07*(F274*G274),AND(D274=2,H274="Pagas no prorrateadas"),1925.21*(F274*G274),AND(D274=3,H274="Pagas prorrateadas"),1775.44*(F274*G274),AND(D274=3,H274="Pagas no prorrateadas"),1521.81*(F274*G274),AND(D274=5,H274="Pagas prorrateadas"),1535.9*(F274*G274),AND(D274=5,H274="Pagas no prorrateadas"),1316.49*(F274*G274),AND(D274=7,H274="Pagas prorrateadas"),1493.61*(F274*G274),AND(D274=7,H274="Pagas no prorrateadas"),1280.24*(F274*G274)))</f>
        <v/>
      </c>
      <c r="K274" s="106" t="str">
        <f aca="false">IF(A274="","",IF(J274-I274&gt;=0,"OK",J274-I274))</f>
        <v/>
      </c>
    </row>
    <row r="275" customFormat="false" ht="14.25" hidden="false" customHeight="true" outlineLevel="0" collapsed="false">
      <c r="A275" s="106"/>
      <c r="B275" s="106"/>
      <c r="C275" s="107"/>
      <c r="D275" s="106"/>
      <c r="E275" s="106"/>
      <c r="F275" s="130" t="str">
        <f aca="false">IF(A275="","",MIN(E275/(37.5),1))</f>
        <v/>
      </c>
      <c r="G275" s="108"/>
      <c r="H275" s="106"/>
      <c r="I275" s="107"/>
      <c r="J275" s="131" t="str">
        <f aca="false" t="array" ref="J275:J275">IF(A275="","",ifs(AND(D275=1,H275="Pagas prorrateadas"),2705.41*(F275*G275),AND(D275=1,H275="Pagas no prorrateadas"),2318.93*(F275*G275),AND(D275=2,H275="Pagas prorrateadas"),2246.07*(F275*G275),AND(D275=2,H275="Pagas no prorrateadas"),1925.21*(F275*G275),AND(D275=3,H275="Pagas prorrateadas"),1775.44*(F275*G275),AND(D275=3,H275="Pagas no prorrateadas"),1521.81*(F275*G275),AND(D275=5,H275="Pagas prorrateadas"),1535.9*(F275*G275),AND(D275=5,H275="Pagas no prorrateadas"),1316.49*(F275*G275),AND(D275=7,H275="Pagas prorrateadas"),1493.61*(F275*G275),AND(D275=7,H275="Pagas no prorrateadas"),1280.24*(F275*G275)))</f>
        <v/>
      </c>
      <c r="K275" s="106" t="str">
        <f aca="false">IF(A275="","",IF(J275-I275&gt;=0,"OK",J275-I275))</f>
        <v/>
      </c>
    </row>
    <row r="276" customFormat="false" ht="14.25" hidden="false" customHeight="true" outlineLevel="0" collapsed="false">
      <c r="A276" s="106"/>
      <c r="B276" s="106"/>
      <c r="C276" s="107"/>
      <c r="D276" s="106"/>
      <c r="E276" s="106"/>
      <c r="F276" s="130" t="str">
        <f aca="false">IF(A276="","",MIN(E276/(37.5),1))</f>
        <v/>
      </c>
      <c r="G276" s="108"/>
      <c r="H276" s="106"/>
      <c r="I276" s="107"/>
      <c r="J276" s="131" t="str">
        <f aca="false" t="array" ref="J276:J276">IF(A276="","",ifs(AND(D276=1,H276="Pagas prorrateadas"),2705.41*(F276*G276),AND(D276=1,H276="Pagas no prorrateadas"),2318.93*(F276*G276),AND(D276=2,H276="Pagas prorrateadas"),2246.07*(F276*G276),AND(D276=2,H276="Pagas no prorrateadas"),1925.21*(F276*G276),AND(D276=3,H276="Pagas prorrateadas"),1775.44*(F276*G276),AND(D276=3,H276="Pagas no prorrateadas"),1521.81*(F276*G276),AND(D276=5,H276="Pagas prorrateadas"),1535.9*(F276*G276),AND(D276=5,H276="Pagas no prorrateadas"),1316.49*(F276*G276),AND(D276=7,H276="Pagas prorrateadas"),1493.61*(F276*G276),AND(D276=7,H276="Pagas no prorrateadas"),1280.24*(F276*G276)))</f>
        <v/>
      </c>
      <c r="K276" s="106" t="str">
        <f aca="false">IF(A276="","",IF(J276-I276&gt;=0,"OK",J276-I276))</f>
        <v/>
      </c>
    </row>
    <row r="277" customFormat="false" ht="14.25" hidden="false" customHeight="true" outlineLevel="0" collapsed="false">
      <c r="A277" s="106"/>
      <c r="B277" s="106"/>
      <c r="C277" s="107"/>
      <c r="D277" s="106"/>
      <c r="E277" s="106"/>
      <c r="F277" s="130" t="str">
        <f aca="false">IF(A277="","",MIN(E277/(37.5),1))</f>
        <v/>
      </c>
      <c r="G277" s="108"/>
      <c r="H277" s="106"/>
      <c r="I277" s="107"/>
      <c r="J277" s="131" t="str">
        <f aca="false" t="array" ref="J277:J277">IF(A277="","",ifs(AND(D277=1,H277="Pagas prorrateadas"),2705.41*(F277*G277),AND(D277=1,H277="Pagas no prorrateadas"),2318.93*(F277*G277),AND(D277=2,H277="Pagas prorrateadas"),2246.07*(F277*G277),AND(D277=2,H277="Pagas no prorrateadas"),1925.21*(F277*G277),AND(D277=3,H277="Pagas prorrateadas"),1775.44*(F277*G277),AND(D277=3,H277="Pagas no prorrateadas"),1521.81*(F277*G277),AND(D277=5,H277="Pagas prorrateadas"),1535.9*(F277*G277),AND(D277=5,H277="Pagas no prorrateadas"),1316.49*(F277*G277),AND(D277=7,H277="Pagas prorrateadas"),1493.61*(F277*G277),AND(D277=7,H277="Pagas no prorrateadas"),1280.24*(F277*G277)))</f>
        <v/>
      </c>
      <c r="K277" s="106" t="str">
        <f aca="false">IF(A277="","",IF(J277-I277&gt;=0,"OK",J277-I277))</f>
        <v/>
      </c>
    </row>
    <row r="278" customFormat="false" ht="14.25" hidden="false" customHeight="true" outlineLevel="0" collapsed="false">
      <c r="A278" s="106"/>
      <c r="B278" s="106"/>
      <c r="C278" s="107"/>
      <c r="D278" s="106"/>
      <c r="E278" s="106"/>
      <c r="F278" s="130" t="str">
        <f aca="false">IF(A278="","",MIN(E278/(37.5),1))</f>
        <v/>
      </c>
      <c r="G278" s="108"/>
      <c r="H278" s="106"/>
      <c r="I278" s="107"/>
      <c r="J278" s="131" t="str">
        <f aca="false" t="array" ref="J278:J278">IF(A278="","",ifs(AND(D278=1,H278="Pagas prorrateadas"),2705.41*(F278*G278),AND(D278=1,H278="Pagas no prorrateadas"),2318.93*(F278*G278),AND(D278=2,H278="Pagas prorrateadas"),2246.07*(F278*G278),AND(D278=2,H278="Pagas no prorrateadas"),1925.21*(F278*G278),AND(D278=3,H278="Pagas prorrateadas"),1775.44*(F278*G278),AND(D278=3,H278="Pagas no prorrateadas"),1521.81*(F278*G278),AND(D278=5,H278="Pagas prorrateadas"),1535.9*(F278*G278),AND(D278=5,H278="Pagas no prorrateadas"),1316.49*(F278*G278),AND(D278=7,H278="Pagas prorrateadas"),1493.61*(F278*G278),AND(D278=7,H278="Pagas no prorrateadas"),1280.24*(F278*G278)))</f>
        <v/>
      </c>
      <c r="K278" s="106" t="str">
        <f aca="false">IF(A278="","",IF(J278-I278&gt;=0,"OK",J278-I278))</f>
        <v/>
      </c>
    </row>
    <row r="279" customFormat="false" ht="14.25" hidden="false" customHeight="true" outlineLevel="0" collapsed="false">
      <c r="A279" s="106"/>
      <c r="B279" s="106"/>
      <c r="C279" s="107"/>
      <c r="D279" s="106"/>
      <c r="E279" s="106"/>
      <c r="F279" s="130" t="str">
        <f aca="false">IF(A279="","",MIN(E279/(37.5),1))</f>
        <v/>
      </c>
      <c r="G279" s="108"/>
      <c r="H279" s="106"/>
      <c r="I279" s="107"/>
      <c r="J279" s="131" t="str">
        <f aca="false" t="array" ref="J279:J279">IF(A279="","",ifs(AND(D279=1,H279="Pagas prorrateadas"),2705.41*(F279*G279),AND(D279=1,H279="Pagas no prorrateadas"),2318.93*(F279*G279),AND(D279=2,H279="Pagas prorrateadas"),2246.07*(F279*G279),AND(D279=2,H279="Pagas no prorrateadas"),1925.21*(F279*G279),AND(D279=3,H279="Pagas prorrateadas"),1775.44*(F279*G279),AND(D279=3,H279="Pagas no prorrateadas"),1521.81*(F279*G279),AND(D279=5,H279="Pagas prorrateadas"),1535.9*(F279*G279),AND(D279=5,H279="Pagas no prorrateadas"),1316.49*(F279*G279),AND(D279=7,H279="Pagas prorrateadas"),1493.61*(F279*G279),AND(D279=7,H279="Pagas no prorrateadas"),1280.24*(F279*G279)))</f>
        <v/>
      </c>
      <c r="K279" s="106" t="str">
        <f aca="false">IF(A279="","",IF(J279-I279&gt;=0,"OK",J279-I279))</f>
        <v/>
      </c>
    </row>
    <row r="280" customFormat="false" ht="14.25" hidden="false" customHeight="true" outlineLevel="0" collapsed="false">
      <c r="A280" s="106"/>
      <c r="B280" s="106"/>
      <c r="C280" s="107"/>
      <c r="D280" s="106"/>
      <c r="E280" s="106"/>
      <c r="F280" s="130" t="str">
        <f aca="false">IF(A280="","",MIN(E280/(37.5),1))</f>
        <v/>
      </c>
      <c r="G280" s="108"/>
      <c r="H280" s="106"/>
      <c r="I280" s="107"/>
      <c r="J280" s="131" t="str">
        <f aca="false" t="array" ref="J280:J280">IF(A280="","",ifs(AND(D280=1,H280="Pagas prorrateadas"),2705.41*(F280*G280),AND(D280=1,H280="Pagas no prorrateadas"),2318.93*(F280*G280),AND(D280=2,H280="Pagas prorrateadas"),2246.07*(F280*G280),AND(D280=2,H280="Pagas no prorrateadas"),1925.21*(F280*G280),AND(D280=3,H280="Pagas prorrateadas"),1775.44*(F280*G280),AND(D280=3,H280="Pagas no prorrateadas"),1521.81*(F280*G280),AND(D280=5,H280="Pagas prorrateadas"),1535.9*(F280*G280),AND(D280=5,H280="Pagas no prorrateadas"),1316.49*(F280*G280),AND(D280=7,H280="Pagas prorrateadas"),1493.61*(F280*G280),AND(D280=7,H280="Pagas no prorrateadas"),1280.24*(F280*G280)))</f>
        <v/>
      </c>
      <c r="K280" s="106" t="str">
        <f aca="false">IF(A280="","",IF(J280-I280&gt;=0,"OK",J280-I280))</f>
        <v/>
      </c>
    </row>
    <row r="281" customFormat="false" ht="14.25" hidden="false" customHeight="true" outlineLevel="0" collapsed="false">
      <c r="A281" s="106"/>
      <c r="B281" s="106"/>
      <c r="C281" s="107"/>
      <c r="D281" s="106"/>
      <c r="E281" s="106"/>
      <c r="F281" s="130" t="str">
        <f aca="false">IF(A281="","",MIN(E281/(37.5),1))</f>
        <v/>
      </c>
      <c r="G281" s="108"/>
      <c r="H281" s="106"/>
      <c r="I281" s="107"/>
      <c r="J281" s="131" t="str">
        <f aca="false" t="array" ref="J281:J281">IF(A281="","",ifs(AND(D281=1,H281="Pagas prorrateadas"),2705.41*(F281*G281),AND(D281=1,H281="Pagas no prorrateadas"),2318.93*(F281*G281),AND(D281=2,H281="Pagas prorrateadas"),2246.07*(F281*G281),AND(D281=2,H281="Pagas no prorrateadas"),1925.21*(F281*G281),AND(D281=3,H281="Pagas prorrateadas"),1775.44*(F281*G281),AND(D281=3,H281="Pagas no prorrateadas"),1521.81*(F281*G281),AND(D281=5,H281="Pagas prorrateadas"),1535.9*(F281*G281),AND(D281=5,H281="Pagas no prorrateadas"),1316.49*(F281*G281),AND(D281=7,H281="Pagas prorrateadas"),1493.61*(F281*G281),AND(D281=7,H281="Pagas no prorrateadas"),1280.24*(F281*G281)))</f>
        <v/>
      </c>
      <c r="K281" s="106" t="str">
        <f aca="false">IF(A281="","",IF(J281-I281&gt;=0,"OK",J281-I281))</f>
        <v/>
      </c>
    </row>
    <row r="282" customFormat="false" ht="14.25" hidden="false" customHeight="true" outlineLevel="0" collapsed="false">
      <c r="A282" s="106"/>
      <c r="B282" s="106"/>
      <c r="C282" s="107"/>
      <c r="D282" s="106"/>
      <c r="E282" s="106"/>
      <c r="F282" s="130" t="str">
        <f aca="false">IF(A282="","",MIN(E282/(37.5),1))</f>
        <v/>
      </c>
      <c r="G282" s="108"/>
      <c r="H282" s="106"/>
      <c r="I282" s="107"/>
      <c r="J282" s="131" t="str">
        <f aca="false" t="array" ref="J282:J282">IF(A282="","",ifs(AND(D282=1,H282="Pagas prorrateadas"),2705.41*(F282*G282),AND(D282=1,H282="Pagas no prorrateadas"),2318.93*(F282*G282),AND(D282=2,H282="Pagas prorrateadas"),2246.07*(F282*G282),AND(D282=2,H282="Pagas no prorrateadas"),1925.21*(F282*G282),AND(D282=3,H282="Pagas prorrateadas"),1775.44*(F282*G282),AND(D282=3,H282="Pagas no prorrateadas"),1521.81*(F282*G282),AND(D282=5,H282="Pagas prorrateadas"),1535.9*(F282*G282),AND(D282=5,H282="Pagas no prorrateadas"),1316.49*(F282*G282),AND(D282=7,H282="Pagas prorrateadas"),1493.61*(F282*G282),AND(D282=7,H282="Pagas no prorrateadas"),1280.24*(F282*G282)))</f>
        <v/>
      </c>
      <c r="K282" s="106" t="str">
        <f aca="false">IF(A282="","",IF(J282-I282&gt;=0,"OK",J282-I282))</f>
        <v/>
      </c>
    </row>
    <row r="283" customFormat="false" ht="14.25" hidden="false" customHeight="true" outlineLevel="0" collapsed="false">
      <c r="A283" s="106"/>
      <c r="B283" s="106"/>
      <c r="C283" s="107"/>
      <c r="D283" s="106"/>
      <c r="E283" s="106"/>
      <c r="F283" s="130" t="str">
        <f aca="false">IF(A283="","",MIN(E283/(37.5),1))</f>
        <v/>
      </c>
      <c r="G283" s="108"/>
      <c r="H283" s="106"/>
      <c r="I283" s="107"/>
      <c r="J283" s="131" t="str">
        <f aca="false" t="array" ref="J283:J283">IF(A283="","",ifs(AND(D283=1,H283="Pagas prorrateadas"),2705.41*(F283*G283),AND(D283=1,H283="Pagas no prorrateadas"),2318.93*(F283*G283),AND(D283=2,H283="Pagas prorrateadas"),2246.07*(F283*G283),AND(D283=2,H283="Pagas no prorrateadas"),1925.21*(F283*G283),AND(D283=3,H283="Pagas prorrateadas"),1775.44*(F283*G283),AND(D283=3,H283="Pagas no prorrateadas"),1521.81*(F283*G283),AND(D283=5,H283="Pagas prorrateadas"),1535.9*(F283*G283),AND(D283=5,H283="Pagas no prorrateadas"),1316.49*(F283*G283),AND(D283=7,H283="Pagas prorrateadas"),1493.61*(F283*G283),AND(D283=7,H283="Pagas no prorrateadas"),1280.24*(F283*G283)))</f>
        <v/>
      </c>
      <c r="K283" s="106" t="str">
        <f aca="false">IF(A283="","",IF(J283-I283&gt;=0,"OK",J283-I283))</f>
        <v/>
      </c>
    </row>
    <row r="284" customFormat="false" ht="14.25" hidden="false" customHeight="true" outlineLevel="0" collapsed="false">
      <c r="A284" s="106"/>
      <c r="B284" s="106"/>
      <c r="C284" s="107"/>
      <c r="D284" s="106"/>
      <c r="E284" s="106"/>
      <c r="F284" s="130" t="str">
        <f aca="false">IF(A284="","",MIN(E284/(37.5),1))</f>
        <v/>
      </c>
      <c r="G284" s="108"/>
      <c r="H284" s="106"/>
      <c r="I284" s="107"/>
      <c r="J284" s="131" t="str">
        <f aca="false" t="array" ref="J284:J284">IF(A284="","",ifs(AND(D284=1,H284="Pagas prorrateadas"),2705.41*(F284*G284),AND(D284=1,H284="Pagas no prorrateadas"),2318.93*(F284*G284),AND(D284=2,H284="Pagas prorrateadas"),2246.07*(F284*G284),AND(D284=2,H284="Pagas no prorrateadas"),1925.21*(F284*G284),AND(D284=3,H284="Pagas prorrateadas"),1775.44*(F284*G284),AND(D284=3,H284="Pagas no prorrateadas"),1521.81*(F284*G284),AND(D284=5,H284="Pagas prorrateadas"),1535.9*(F284*G284),AND(D284=5,H284="Pagas no prorrateadas"),1316.49*(F284*G284),AND(D284=7,H284="Pagas prorrateadas"),1493.61*(F284*G284),AND(D284=7,H284="Pagas no prorrateadas"),1280.24*(F284*G284)))</f>
        <v/>
      </c>
      <c r="K284" s="106" t="str">
        <f aca="false">IF(A284="","",IF(J284-I284&gt;=0,"OK",J284-I284))</f>
        <v/>
      </c>
    </row>
    <row r="285" customFormat="false" ht="14.25" hidden="false" customHeight="true" outlineLevel="0" collapsed="false">
      <c r="A285" s="106"/>
      <c r="B285" s="106"/>
      <c r="C285" s="107"/>
      <c r="D285" s="106"/>
      <c r="E285" s="106"/>
      <c r="F285" s="130" t="str">
        <f aca="false">IF(A285="","",MIN(E285/(37.5),1))</f>
        <v/>
      </c>
      <c r="G285" s="108"/>
      <c r="H285" s="106"/>
      <c r="I285" s="107"/>
      <c r="J285" s="131" t="str">
        <f aca="false" t="array" ref="J285:J285">IF(A285="","",ifs(AND(D285=1,H285="Pagas prorrateadas"),2705.41*(F285*G285),AND(D285=1,H285="Pagas no prorrateadas"),2318.93*(F285*G285),AND(D285=2,H285="Pagas prorrateadas"),2246.07*(F285*G285),AND(D285=2,H285="Pagas no prorrateadas"),1925.21*(F285*G285),AND(D285=3,H285="Pagas prorrateadas"),1775.44*(F285*G285),AND(D285=3,H285="Pagas no prorrateadas"),1521.81*(F285*G285),AND(D285=5,H285="Pagas prorrateadas"),1535.9*(F285*G285),AND(D285=5,H285="Pagas no prorrateadas"),1316.49*(F285*G285),AND(D285=7,H285="Pagas prorrateadas"),1493.61*(F285*G285),AND(D285=7,H285="Pagas no prorrateadas"),1280.24*(F285*G285)))</f>
        <v/>
      </c>
      <c r="K285" s="106" t="str">
        <f aca="false">IF(A285="","",IF(J285-I285&gt;=0,"OK",J285-I285))</f>
        <v/>
      </c>
    </row>
    <row r="286" customFormat="false" ht="14.25" hidden="false" customHeight="true" outlineLevel="0" collapsed="false">
      <c r="A286" s="106"/>
      <c r="B286" s="106"/>
      <c r="C286" s="107"/>
      <c r="D286" s="106"/>
      <c r="E286" s="106"/>
      <c r="F286" s="130" t="str">
        <f aca="false">IF(A286="","",MIN(E286/(37.5),1))</f>
        <v/>
      </c>
      <c r="G286" s="108"/>
      <c r="H286" s="106"/>
      <c r="I286" s="107"/>
      <c r="J286" s="131" t="str">
        <f aca="false" t="array" ref="J286:J286">IF(A286="","",ifs(AND(D286=1,H286="Pagas prorrateadas"),2705.41*(F286*G286),AND(D286=1,H286="Pagas no prorrateadas"),2318.93*(F286*G286),AND(D286=2,H286="Pagas prorrateadas"),2246.07*(F286*G286),AND(D286=2,H286="Pagas no prorrateadas"),1925.21*(F286*G286),AND(D286=3,H286="Pagas prorrateadas"),1775.44*(F286*G286),AND(D286=3,H286="Pagas no prorrateadas"),1521.81*(F286*G286),AND(D286=5,H286="Pagas prorrateadas"),1535.9*(F286*G286),AND(D286=5,H286="Pagas no prorrateadas"),1316.49*(F286*G286),AND(D286=7,H286="Pagas prorrateadas"),1493.61*(F286*G286),AND(D286=7,H286="Pagas no prorrateadas"),1280.24*(F286*G286)))</f>
        <v/>
      </c>
      <c r="K286" s="106" t="str">
        <f aca="false">IF(A286="","",IF(J286-I286&gt;=0,"OK",J286-I286))</f>
        <v/>
      </c>
    </row>
    <row r="287" customFormat="false" ht="14.25" hidden="false" customHeight="true" outlineLevel="0" collapsed="false">
      <c r="A287" s="106"/>
      <c r="B287" s="106"/>
      <c r="C287" s="107"/>
      <c r="D287" s="106"/>
      <c r="E287" s="106"/>
      <c r="F287" s="130" t="str">
        <f aca="false">IF(A287="","",MIN(E287/(37.5),1))</f>
        <v/>
      </c>
      <c r="G287" s="108"/>
      <c r="H287" s="106"/>
      <c r="I287" s="107"/>
      <c r="J287" s="131" t="str">
        <f aca="false" t="array" ref="J287:J287">IF(A287="","",ifs(AND(D287=1,H287="Pagas prorrateadas"),2705.41*(F287*G287),AND(D287=1,H287="Pagas no prorrateadas"),2318.93*(F287*G287),AND(D287=2,H287="Pagas prorrateadas"),2246.07*(F287*G287),AND(D287=2,H287="Pagas no prorrateadas"),1925.21*(F287*G287),AND(D287=3,H287="Pagas prorrateadas"),1775.44*(F287*G287),AND(D287=3,H287="Pagas no prorrateadas"),1521.81*(F287*G287),AND(D287=5,H287="Pagas prorrateadas"),1535.9*(F287*G287),AND(D287=5,H287="Pagas no prorrateadas"),1316.49*(F287*G287),AND(D287=7,H287="Pagas prorrateadas"),1493.61*(F287*G287),AND(D287=7,H287="Pagas no prorrateadas"),1280.24*(F287*G287)))</f>
        <v/>
      </c>
      <c r="K287" s="106" t="str">
        <f aca="false">IF(A287="","",IF(J287-I287&gt;=0,"OK",J287-I287))</f>
        <v/>
      </c>
    </row>
    <row r="288" customFormat="false" ht="14.25" hidden="false" customHeight="true" outlineLevel="0" collapsed="false">
      <c r="A288" s="106"/>
      <c r="B288" s="106"/>
      <c r="C288" s="107"/>
      <c r="D288" s="106"/>
      <c r="E288" s="106"/>
      <c r="F288" s="130" t="str">
        <f aca="false">IF(A288="","",MIN(E288/(37.5),1))</f>
        <v/>
      </c>
      <c r="G288" s="108"/>
      <c r="H288" s="106"/>
      <c r="I288" s="107"/>
      <c r="J288" s="131" t="str">
        <f aca="false" t="array" ref="J288:J288">IF(A288="","",ifs(AND(D288=1,H288="Pagas prorrateadas"),2705.41*(F288*G288),AND(D288=1,H288="Pagas no prorrateadas"),2318.93*(F288*G288),AND(D288=2,H288="Pagas prorrateadas"),2246.07*(F288*G288),AND(D288=2,H288="Pagas no prorrateadas"),1925.21*(F288*G288),AND(D288=3,H288="Pagas prorrateadas"),1775.44*(F288*G288),AND(D288=3,H288="Pagas no prorrateadas"),1521.81*(F288*G288),AND(D288=5,H288="Pagas prorrateadas"),1535.9*(F288*G288),AND(D288=5,H288="Pagas no prorrateadas"),1316.49*(F288*G288),AND(D288=7,H288="Pagas prorrateadas"),1493.61*(F288*G288),AND(D288=7,H288="Pagas no prorrateadas"),1280.24*(F288*G288)))</f>
        <v/>
      </c>
      <c r="K288" s="106" t="str">
        <f aca="false">IF(A288="","",IF(J288-I288&gt;=0,"OK",J288-I288))</f>
        <v/>
      </c>
    </row>
    <row r="289" customFormat="false" ht="14.25" hidden="false" customHeight="true" outlineLevel="0" collapsed="false">
      <c r="A289" s="106"/>
      <c r="B289" s="106"/>
      <c r="C289" s="107"/>
      <c r="D289" s="106"/>
      <c r="E289" s="106"/>
      <c r="F289" s="130" t="str">
        <f aca="false">IF(A289="","",MIN(E289/(37.5),1))</f>
        <v/>
      </c>
      <c r="G289" s="108"/>
      <c r="H289" s="106"/>
      <c r="I289" s="107"/>
      <c r="J289" s="131" t="str">
        <f aca="false" t="array" ref="J289:J289">IF(A289="","",ifs(AND(D289=1,H289="Pagas prorrateadas"),2705.41*(F289*G289),AND(D289=1,H289="Pagas no prorrateadas"),2318.93*(F289*G289),AND(D289=2,H289="Pagas prorrateadas"),2246.07*(F289*G289),AND(D289=2,H289="Pagas no prorrateadas"),1925.21*(F289*G289),AND(D289=3,H289="Pagas prorrateadas"),1775.44*(F289*G289),AND(D289=3,H289="Pagas no prorrateadas"),1521.81*(F289*G289),AND(D289=5,H289="Pagas prorrateadas"),1535.9*(F289*G289),AND(D289=5,H289="Pagas no prorrateadas"),1316.49*(F289*G289),AND(D289=7,H289="Pagas prorrateadas"),1493.61*(F289*G289),AND(D289=7,H289="Pagas no prorrateadas"),1280.24*(F289*G289)))</f>
        <v/>
      </c>
      <c r="K289" s="106" t="str">
        <f aca="false">IF(A289="","",IF(J289-I289&gt;=0,"OK",J289-I289))</f>
        <v/>
      </c>
    </row>
    <row r="290" customFormat="false" ht="14.25" hidden="false" customHeight="true" outlineLevel="0" collapsed="false">
      <c r="A290" s="106"/>
      <c r="B290" s="106"/>
      <c r="C290" s="107"/>
      <c r="D290" s="106"/>
      <c r="E290" s="106"/>
      <c r="F290" s="130" t="str">
        <f aca="false">IF(A290="","",MIN(E290/(37.5),1))</f>
        <v/>
      </c>
      <c r="G290" s="108"/>
      <c r="H290" s="106"/>
      <c r="I290" s="107"/>
      <c r="J290" s="131" t="str">
        <f aca="false" t="array" ref="J290:J290">IF(A290="","",ifs(AND(D290=1,H290="Pagas prorrateadas"),2705.41*(F290*G290),AND(D290=1,H290="Pagas no prorrateadas"),2318.93*(F290*G290),AND(D290=2,H290="Pagas prorrateadas"),2246.07*(F290*G290),AND(D290=2,H290="Pagas no prorrateadas"),1925.21*(F290*G290),AND(D290=3,H290="Pagas prorrateadas"),1775.44*(F290*G290),AND(D290=3,H290="Pagas no prorrateadas"),1521.81*(F290*G290),AND(D290=5,H290="Pagas prorrateadas"),1535.9*(F290*G290),AND(D290=5,H290="Pagas no prorrateadas"),1316.49*(F290*G290),AND(D290=7,H290="Pagas prorrateadas"),1493.61*(F290*G290),AND(D290=7,H290="Pagas no prorrateadas"),1280.24*(F290*G290)))</f>
        <v/>
      </c>
      <c r="K290" s="106" t="str">
        <f aca="false">IF(A290="","",IF(J290-I290&gt;=0,"OK",J290-I290))</f>
        <v/>
      </c>
    </row>
    <row r="291" customFormat="false" ht="14.25" hidden="false" customHeight="true" outlineLevel="0" collapsed="false">
      <c r="A291" s="106"/>
      <c r="B291" s="106"/>
      <c r="C291" s="107"/>
      <c r="D291" s="106"/>
      <c r="E291" s="106"/>
      <c r="F291" s="130" t="str">
        <f aca="false">IF(A291="","",MIN(E291/(37.5),1))</f>
        <v/>
      </c>
      <c r="G291" s="108"/>
      <c r="H291" s="106"/>
      <c r="I291" s="107"/>
      <c r="J291" s="131" t="str">
        <f aca="false" t="array" ref="J291:J291">IF(A291="","",ifs(AND(D291=1,H291="Pagas prorrateadas"),2705.41*(F291*G291),AND(D291=1,H291="Pagas no prorrateadas"),2318.93*(F291*G291),AND(D291=2,H291="Pagas prorrateadas"),2246.07*(F291*G291),AND(D291=2,H291="Pagas no prorrateadas"),1925.21*(F291*G291),AND(D291=3,H291="Pagas prorrateadas"),1775.44*(F291*G291),AND(D291=3,H291="Pagas no prorrateadas"),1521.81*(F291*G291),AND(D291=5,H291="Pagas prorrateadas"),1535.9*(F291*G291),AND(D291=5,H291="Pagas no prorrateadas"),1316.49*(F291*G291),AND(D291=7,H291="Pagas prorrateadas"),1493.61*(F291*G291),AND(D291=7,H291="Pagas no prorrateadas"),1280.24*(F291*G291)))</f>
        <v/>
      </c>
      <c r="K291" s="106" t="str">
        <f aca="false">IF(A291="","",IF(J291-I291&gt;=0,"OK",J291-I291))</f>
        <v/>
      </c>
    </row>
    <row r="292" customFormat="false" ht="14.25" hidden="false" customHeight="true" outlineLevel="0" collapsed="false">
      <c r="A292" s="106"/>
      <c r="B292" s="106"/>
      <c r="C292" s="107"/>
      <c r="D292" s="106"/>
      <c r="E292" s="106"/>
      <c r="F292" s="130" t="str">
        <f aca="false">IF(A292="","",MIN(E292/(37.5),1))</f>
        <v/>
      </c>
      <c r="G292" s="108"/>
      <c r="H292" s="106"/>
      <c r="I292" s="107"/>
      <c r="J292" s="131" t="str">
        <f aca="false" t="array" ref="J292:J292">IF(A292="","",ifs(AND(D292=1,H292="Pagas prorrateadas"),2705.41*(F292*G292),AND(D292=1,H292="Pagas no prorrateadas"),2318.93*(F292*G292),AND(D292=2,H292="Pagas prorrateadas"),2246.07*(F292*G292),AND(D292=2,H292="Pagas no prorrateadas"),1925.21*(F292*G292),AND(D292=3,H292="Pagas prorrateadas"),1775.44*(F292*G292),AND(D292=3,H292="Pagas no prorrateadas"),1521.81*(F292*G292),AND(D292=5,H292="Pagas prorrateadas"),1535.9*(F292*G292),AND(D292=5,H292="Pagas no prorrateadas"),1316.49*(F292*G292),AND(D292=7,H292="Pagas prorrateadas"),1493.61*(F292*G292),AND(D292=7,H292="Pagas no prorrateadas"),1280.24*(F292*G292)))</f>
        <v/>
      </c>
      <c r="K292" s="106" t="str">
        <f aca="false">IF(A292="","",IF(J292-I292&gt;=0,"OK",J292-I292))</f>
        <v/>
      </c>
    </row>
    <row r="293" customFormat="false" ht="14.25" hidden="false" customHeight="true" outlineLevel="0" collapsed="false">
      <c r="A293" s="106"/>
      <c r="B293" s="106"/>
      <c r="C293" s="107"/>
      <c r="D293" s="106"/>
      <c r="E293" s="106"/>
      <c r="F293" s="130" t="str">
        <f aca="false">IF(A293="","",MIN(E293/(37.5),1))</f>
        <v/>
      </c>
      <c r="G293" s="108"/>
      <c r="H293" s="106"/>
      <c r="I293" s="107"/>
      <c r="J293" s="131" t="str">
        <f aca="false" t="array" ref="J293:J293">IF(A293="","",ifs(AND(D293=1,H293="Pagas prorrateadas"),2705.41*(F293*G293),AND(D293=1,H293="Pagas no prorrateadas"),2318.93*(F293*G293),AND(D293=2,H293="Pagas prorrateadas"),2246.07*(F293*G293),AND(D293=2,H293="Pagas no prorrateadas"),1925.21*(F293*G293),AND(D293=3,H293="Pagas prorrateadas"),1775.44*(F293*G293),AND(D293=3,H293="Pagas no prorrateadas"),1521.81*(F293*G293),AND(D293=5,H293="Pagas prorrateadas"),1535.9*(F293*G293),AND(D293=5,H293="Pagas no prorrateadas"),1316.49*(F293*G293),AND(D293=7,H293="Pagas prorrateadas"),1493.61*(F293*G293),AND(D293=7,H293="Pagas no prorrateadas"),1280.24*(F293*G293)))</f>
        <v/>
      </c>
      <c r="K293" s="106" t="str">
        <f aca="false">IF(A293="","",IF(J293-I293&gt;=0,"OK",J293-I293))</f>
        <v/>
      </c>
    </row>
    <row r="294" customFormat="false" ht="14.25" hidden="false" customHeight="true" outlineLevel="0" collapsed="false">
      <c r="A294" s="106"/>
      <c r="B294" s="106"/>
      <c r="C294" s="107"/>
      <c r="D294" s="106"/>
      <c r="E294" s="106"/>
      <c r="F294" s="130" t="str">
        <f aca="false">IF(A294="","",MIN(E294/(37.5),1))</f>
        <v/>
      </c>
      <c r="G294" s="108"/>
      <c r="H294" s="106"/>
      <c r="I294" s="107"/>
      <c r="J294" s="131" t="str">
        <f aca="false" t="array" ref="J294:J294">IF(A294="","",ifs(AND(D294=1,H294="Pagas prorrateadas"),2705.41*(F294*G294),AND(D294=1,H294="Pagas no prorrateadas"),2318.93*(F294*G294),AND(D294=2,H294="Pagas prorrateadas"),2246.07*(F294*G294),AND(D294=2,H294="Pagas no prorrateadas"),1925.21*(F294*G294),AND(D294=3,H294="Pagas prorrateadas"),1775.44*(F294*G294),AND(D294=3,H294="Pagas no prorrateadas"),1521.81*(F294*G294),AND(D294=5,H294="Pagas prorrateadas"),1535.9*(F294*G294),AND(D294=5,H294="Pagas no prorrateadas"),1316.49*(F294*G294),AND(D294=7,H294="Pagas prorrateadas"),1493.61*(F294*G294),AND(D294=7,H294="Pagas no prorrateadas"),1280.24*(F294*G294)))</f>
        <v/>
      </c>
      <c r="K294" s="106" t="str">
        <f aca="false">IF(A294="","",IF(J294-I294&gt;=0,"OK",J294-I294))</f>
        <v/>
      </c>
    </row>
    <row r="295" customFormat="false" ht="14.25" hidden="false" customHeight="true" outlineLevel="0" collapsed="false">
      <c r="A295" s="106"/>
      <c r="B295" s="106"/>
      <c r="C295" s="107"/>
      <c r="D295" s="106"/>
      <c r="E295" s="106"/>
      <c r="F295" s="130" t="str">
        <f aca="false">IF(A295="","",MIN(E295/(37.5),1))</f>
        <v/>
      </c>
      <c r="G295" s="108"/>
      <c r="H295" s="106"/>
      <c r="I295" s="107"/>
      <c r="J295" s="131" t="str">
        <f aca="false" t="array" ref="J295:J295">IF(A295="","",ifs(AND(D295=1,H295="Pagas prorrateadas"),2705.41*(F295*G295),AND(D295=1,H295="Pagas no prorrateadas"),2318.93*(F295*G295),AND(D295=2,H295="Pagas prorrateadas"),2246.07*(F295*G295),AND(D295=2,H295="Pagas no prorrateadas"),1925.21*(F295*G295),AND(D295=3,H295="Pagas prorrateadas"),1775.44*(F295*G295),AND(D295=3,H295="Pagas no prorrateadas"),1521.81*(F295*G295),AND(D295=5,H295="Pagas prorrateadas"),1535.9*(F295*G295),AND(D295=5,H295="Pagas no prorrateadas"),1316.49*(F295*G295),AND(D295=7,H295="Pagas prorrateadas"),1493.61*(F295*G295),AND(D295=7,H295="Pagas no prorrateadas"),1280.24*(F295*G295)))</f>
        <v/>
      </c>
      <c r="K295" s="106" t="str">
        <f aca="false">IF(A295="","",IF(J295-I295&gt;=0,"OK",J295-I295))</f>
        <v/>
      </c>
    </row>
    <row r="296" customFormat="false" ht="14.25" hidden="false" customHeight="true" outlineLevel="0" collapsed="false">
      <c r="A296" s="106"/>
      <c r="B296" s="106"/>
      <c r="C296" s="107"/>
      <c r="D296" s="106"/>
      <c r="E296" s="106"/>
      <c r="F296" s="130" t="str">
        <f aca="false">IF(A296="","",MIN(E296/(37.5),1))</f>
        <v/>
      </c>
      <c r="G296" s="108"/>
      <c r="H296" s="106"/>
      <c r="I296" s="107"/>
      <c r="J296" s="131" t="str">
        <f aca="false" t="array" ref="J296:J296">IF(A296="","",ifs(AND(D296=1,H296="Pagas prorrateadas"),2705.41*(F296*G296),AND(D296=1,H296="Pagas no prorrateadas"),2318.93*(F296*G296),AND(D296=2,H296="Pagas prorrateadas"),2246.07*(F296*G296),AND(D296=2,H296="Pagas no prorrateadas"),1925.21*(F296*G296),AND(D296=3,H296="Pagas prorrateadas"),1775.44*(F296*G296),AND(D296=3,H296="Pagas no prorrateadas"),1521.81*(F296*G296),AND(D296=5,H296="Pagas prorrateadas"),1535.9*(F296*G296),AND(D296=5,H296="Pagas no prorrateadas"),1316.49*(F296*G296),AND(D296=7,H296="Pagas prorrateadas"),1493.61*(F296*G296),AND(D296=7,H296="Pagas no prorrateadas"),1280.24*(F296*G296)))</f>
        <v/>
      </c>
      <c r="K296" s="106" t="str">
        <f aca="false">IF(A296="","",IF(J296-I296&gt;=0,"OK",J296-I296))</f>
        <v/>
      </c>
    </row>
    <row r="297" customFormat="false" ht="14.25" hidden="false" customHeight="true" outlineLevel="0" collapsed="false">
      <c r="A297" s="106"/>
      <c r="B297" s="106"/>
      <c r="C297" s="107"/>
      <c r="D297" s="106"/>
      <c r="E297" s="106"/>
      <c r="F297" s="130" t="str">
        <f aca="false">IF(A297="","",MIN(E297/(37.5),1))</f>
        <v/>
      </c>
      <c r="G297" s="108"/>
      <c r="H297" s="106"/>
      <c r="I297" s="107"/>
      <c r="J297" s="131" t="str">
        <f aca="false" t="array" ref="J297:J297">IF(A297="","",ifs(AND(D297=1,H297="Pagas prorrateadas"),2705.41*(F297*G297),AND(D297=1,H297="Pagas no prorrateadas"),2318.93*(F297*G297),AND(D297=2,H297="Pagas prorrateadas"),2246.07*(F297*G297),AND(D297=2,H297="Pagas no prorrateadas"),1925.21*(F297*G297),AND(D297=3,H297="Pagas prorrateadas"),1775.44*(F297*G297),AND(D297=3,H297="Pagas no prorrateadas"),1521.81*(F297*G297),AND(D297=5,H297="Pagas prorrateadas"),1535.9*(F297*G297),AND(D297=5,H297="Pagas no prorrateadas"),1316.49*(F297*G297),AND(D297=7,H297="Pagas prorrateadas"),1493.61*(F297*G297),AND(D297=7,H297="Pagas no prorrateadas"),1280.24*(F297*G297)))</f>
        <v/>
      </c>
      <c r="K297" s="106" t="str">
        <f aca="false">IF(A297="","",IF(J297-I297&gt;=0,"OK",J297-I297))</f>
        <v/>
      </c>
    </row>
    <row r="298" customFormat="false" ht="14.25" hidden="false" customHeight="true" outlineLevel="0" collapsed="false">
      <c r="A298" s="106"/>
      <c r="B298" s="106"/>
      <c r="C298" s="107"/>
      <c r="D298" s="106"/>
      <c r="E298" s="106"/>
      <c r="F298" s="130" t="str">
        <f aca="false">IF(A298="","",MIN(E298/(37.5),1))</f>
        <v/>
      </c>
      <c r="G298" s="108"/>
      <c r="H298" s="106"/>
      <c r="I298" s="107"/>
      <c r="J298" s="131" t="str">
        <f aca="false" t="array" ref="J298:J298">IF(A298="","",ifs(AND(D298=1,H298="Pagas prorrateadas"),2705.41*(F298*G298),AND(D298=1,H298="Pagas no prorrateadas"),2318.93*(F298*G298),AND(D298=2,H298="Pagas prorrateadas"),2246.07*(F298*G298),AND(D298=2,H298="Pagas no prorrateadas"),1925.21*(F298*G298),AND(D298=3,H298="Pagas prorrateadas"),1775.44*(F298*G298),AND(D298=3,H298="Pagas no prorrateadas"),1521.81*(F298*G298),AND(D298=5,H298="Pagas prorrateadas"),1535.9*(F298*G298),AND(D298=5,H298="Pagas no prorrateadas"),1316.49*(F298*G298),AND(D298=7,H298="Pagas prorrateadas"),1493.61*(F298*G298),AND(D298=7,H298="Pagas no prorrateadas"),1280.24*(F298*G298)))</f>
        <v/>
      </c>
      <c r="K298" s="106" t="str">
        <f aca="false">IF(A298="","",IF(J298-I298&gt;=0,"OK",J298-I298))</f>
        <v/>
      </c>
    </row>
    <row r="299" customFormat="false" ht="14.25" hidden="false" customHeight="true" outlineLevel="0" collapsed="false">
      <c r="A299" s="106"/>
      <c r="B299" s="106"/>
      <c r="C299" s="107"/>
      <c r="D299" s="106"/>
      <c r="E299" s="106"/>
      <c r="F299" s="130" t="str">
        <f aca="false">IF(A299="","",MIN(E299/(37.5),1))</f>
        <v/>
      </c>
      <c r="G299" s="108"/>
      <c r="H299" s="106"/>
      <c r="I299" s="107"/>
      <c r="J299" s="131" t="str">
        <f aca="false" t="array" ref="J299:J299">IF(A299="","",ifs(AND(D299=1,H299="Pagas prorrateadas"),2705.41*(F299*G299),AND(D299=1,H299="Pagas no prorrateadas"),2318.93*(F299*G299),AND(D299=2,H299="Pagas prorrateadas"),2246.07*(F299*G299),AND(D299=2,H299="Pagas no prorrateadas"),1925.21*(F299*G299),AND(D299=3,H299="Pagas prorrateadas"),1775.44*(F299*G299),AND(D299=3,H299="Pagas no prorrateadas"),1521.81*(F299*G299),AND(D299=5,H299="Pagas prorrateadas"),1535.9*(F299*G299),AND(D299=5,H299="Pagas no prorrateadas"),1316.49*(F299*G299),AND(D299=7,H299="Pagas prorrateadas"),1493.61*(F299*G299),AND(D299=7,H299="Pagas no prorrateadas"),1280.24*(F299*G299)))</f>
        <v/>
      </c>
      <c r="K299" s="106" t="str">
        <f aca="false">IF(A299="","",IF(J299-I299&gt;=0,"OK",J299-I299))</f>
        <v/>
      </c>
    </row>
    <row r="300" customFormat="false" ht="14.25" hidden="false" customHeight="true" outlineLevel="0" collapsed="false">
      <c r="A300" s="106"/>
      <c r="B300" s="106"/>
      <c r="C300" s="107"/>
      <c r="D300" s="106"/>
      <c r="E300" s="106"/>
      <c r="F300" s="130" t="str">
        <f aca="false">IF(A300="","",MIN(E300/(37.5),1))</f>
        <v/>
      </c>
      <c r="G300" s="108"/>
      <c r="H300" s="106"/>
      <c r="I300" s="107"/>
      <c r="J300" s="131" t="str">
        <f aca="false" t="array" ref="J300:J300">IF(A300="","",ifs(AND(D300=1,H300="Pagas prorrateadas"),2705.41*(F300*G300),AND(D300=1,H300="Pagas no prorrateadas"),2318.93*(F300*G300),AND(D300=2,H300="Pagas prorrateadas"),2246.07*(F300*G300),AND(D300=2,H300="Pagas no prorrateadas"),1925.21*(F300*G300),AND(D300=3,H300="Pagas prorrateadas"),1775.44*(F300*G300),AND(D300=3,H300="Pagas no prorrateadas"),1521.81*(F300*G300),AND(D300=5,H300="Pagas prorrateadas"),1535.9*(F300*G300),AND(D300=5,H300="Pagas no prorrateadas"),1316.49*(F300*G300),AND(D300=7,H300="Pagas prorrateadas"),1493.61*(F300*G300),AND(D300=7,H300="Pagas no prorrateadas"),1280.24*(F300*G300)))</f>
        <v/>
      </c>
      <c r="K300" s="106" t="str">
        <f aca="false">IF(A300="","",IF(J300-I300&gt;=0,"OK",J300-I300))</f>
        <v/>
      </c>
    </row>
    <row r="301" customFormat="false" ht="14.25" hidden="false" customHeight="true" outlineLevel="0" collapsed="false">
      <c r="A301" s="106"/>
      <c r="B301" s="106"/>
      <c r="C301" s="107"/>
      <c r="D301" s="106"/>
      <c r="E301" s="106"/>
      <c r="F301" s="130" t="str">
        <f aca="false">IF(A301="","",MIN(E301/(37.5),1))</f>
        <v/>
      </c>
      <c r="G301" s="108"/>
      <c r="H301" s="106"/>
      <c r="I301" s="107"/>
      <c r="J301" s="131" t="str">
        <f aca="false" t="array" ref="J301:J301">IF(A301="","",ifs(AND(D301=1,H301="Pagas prorrateadas"),2705.41*(F301*G301),AND(D301=1,H301="Pagas no prorrateadas"),2318.93*(F301*G301),AND(D301=2,H301="Pagas prorrateadas"),2246.07*(F301*G301),AND(D301=2,H301="Pagas no prorrateadas"),1925.21*(F301*G301),AND(D301=3,H301="Pagas prorrateadas"),1775.44*(F301*G301),AND(D301=3,H301="Pagas no prorrateadas"),1521.81*(F301*G301),AND(D301=5,H301="Pagas prorrateadas"),1535.9*(F301*G301),AND(D301=5,H301="Pagas no prorrateadas"),1316.49*(F301*G301),AND(D301=7,H301="Pagas prorrateadas"),1493.61*(F301*G301),AND(D301=7,H301="Pagas no prorrateadas"),1280.24*(F301*G301)))</f>
        <v/>
      </c>
      <c r="K301" s="106" t="str">
        <f aca="false">IF(A301="","",IF(J301-I301&gt;=0,"OK",J301-I301))</f>
        <v/>
      </c>
    </row>
    <row r="302" customFormat="false" ht="14.25" hidden="false" customHeight="true" outlineLevel="0" collapsed="false">
      <c r="A302" s="106"/>
      <c r="B302" s="106"/>
      <c r="C302" s="107"/>
      <c r="D302" s="106"/>
      <c r="E302" s="106"/>
      <c r="F302" s="130" t="str">
        <f aca="false">IF(A302="","",MIN(E302/(37.5),1))</f>
        <v/>
      </c>
      <c r="G302" s="108"/>
      <c r="H302" s="106"/>
      <c r="I302" s="107"/>
      <c r="J302" s="131" t="str">
        <f aca="false" t="array" ref="J302:J302">IF(A302="","",ifs(AND(D302=1,H302="Pagas prorrateadas"),2705.41*(F302*G302),AND(D302=1,H302="Pagas no prorrateadas"),2318.93*(F302*G302),AND(D302=2,H302="Pagas prorrateadas"),2246.07*(F302*G302),AND(D302=2,H302="Pagas no prorrateadas"),1925.21*(F302*G302),AND(D302=3,H302="Pagas prorrateadas"),1775.44*(F302*G302),AND(D302=3,H302="Pagas no prorrateadas"),1521.81*(F302*G302),AND(D302=5,H302="Pagas prorrateadas"),1535.9*(F302*G302),AND(D302=5,H302="Pagas no prorrateadas"),1316.49*(F302*G302),AND(D302=7,H302="Pagas prorrateadas"),1493.61*(F302*G302),AND(D302=7,H302="Pagas no prorrateadas"),1280.24*(F302*G302)))</f>
        <v/>
      </c>
      <c r="K302" s="106" t="str">
        <f aca="false">IF(A302="","",IF(J302-I302&gt;=0,"OK",J302-I302))</f>
        <v/>
      </c>
    </row>
    <row r="303" customFormat="false" ht="14.25" hidden="false" customHeight="true" outlineLevel="0" collapsed="false">
      <c r="A303" s="106"/>
      <c r="B303" s="106"/>
      <c r="C303" s="107"/>
      <c r="D303" s="106"/>
      <c r="E303" s="106"/>
      <c r="F303" s="130" t="str">
        <f aca="false">IF(A303="","",MIN(E303/(37.5),1))</f>
        <v/>
      </c>
      <c r="G303" s="108"/>
      <c r="H303" s="106"/>
      <c r="I303" s="107"/>
      <c r="J303" s="131" t="str">
        <f aca="false" t="array" ref="J303:J303">IF(A303="","",ifs(AND(D303=1,H303="Pagas prorrateadas"),2705.41*(F303*G303),AND(D303=1,H303="Pagas no prorrateadas"),2318.93*(F303*G303),AND(D303=2,H303="Pagas prorrateadas"),2246.07*(F303*G303),AND(D303=2,H303="Pagas no prorrateadas"),1925.21*(F303*G303),AND(D303=3,H303="Pagas prorrateadas"),1775.44*(F303*G303),AND(D303=3,H303="Pagas no prorrateadas"),1521.81*(F303*G303),AND(D303=5,H303="Pagas prorrateadas"),1535.9*(F303*G303),AND(D303=5,H303="Pagas no prorrateadas"),1316.49*(F303*G303),AND(D303=7,H303="Pagas prorrateadas"),1493.61*(F303*G303),AND(D303=7,H303="Pagas no prorrateadas"),1280.24*(F303*G303)))</f>
        <v/>
      </c>
      <c r="K303" s="106" t="str">
        <f aca="false">IF(A303="","",IF(J303-I303&gt;=0,"OK",J303-I303))</f>
        <v/>
      </c>
    </row>
    <row r="304" customFormat="false" ht="14.25" hidden="false" customHeight="true" outlineLevel="0" collapsed="false">
      <c r="A304" s="106"/>
      <c r="B304" s="106"/>
      <c r="C304" s="107"/>
      <c r="D304" s="106"/>
      <c r="E304" s="106"/>
      <c r="F304" s="130" t="str">
        <f aca="false">IF(A304="","",MIN(E304/(37.5),1))</f>
        <v/>
      </c>
      <c r="G304" s="108"/>
      <c r="H304" s="106"/>
      <c r="I304" s="107"/>
      <c r="J304" s="131" t="str">
        <f aca="false" t="array" ref="J304:J304">IF(A304="","",ifs(AND(D304=1,H304="Pagas prorrateadas"),2705.41*(F304*G304),AND(D304=1,H304="Pagas no prorrateadas"),2318.93*(F304*G304),AND(D304=2,H304="Pagas prorrateadas"),2246.07*(F304*G304),AND(D304=2,H304="Pagas no prorrateadas"),1925.21*(F304*G304),AND(D304=3,H304="Pagas prorrateadas"),1775.44*(F304*G304),AND(D304=3,H304="Pagas no prorrateadas"),1521.81*(F304*G304),AND(D304=5,H304="Pagas prorrateadas"),1535.9*(F304*G304),AND(D304=5,H304="Pagas no prorrateadas"),1316.49*(F304*G304),AND(D304=7,H304="Pagas prorrateadas"),1493.61*(F304*G304),AND(D304=7,H304="Pagas no prorrateadas"),1280.24*(F304*G304)))</f>
        <v/>
      </c>
      <c r="K304" s="106" t="str">
        <f aca="false">IF(A304="","",IF(J304-I304&gt;=0,"OK",J304-I304))</f>
        <v/>
      </c>
    </row>
    <row r="305" customFormat="false" ht="14.25" hidden="false" customHeight="true" outlineLevel="0" collapsed="false">
      <c r="A305" s="106"/>
      <c r="B305" s="106"/>
      <c r="C305" s="107"/>
      <c r="D305" s="106"/>
      <c r="E305" s="106"/>
      <c r="F305" s="130" t="str">
        <f aca="false">IF(A305="","",MIN(E305/(37.5),1))</f>
        <v/>
      </c>
      <c r="G305" s="108"/>
      <c r="H305" s="106"/>
      <c r="I305" s="107"/>
      <c r="J305" s="131" t="str">
        <f aca="false" t="array" ref="J305:J305">IF(A305="","",ifs(AND(D305=1,H305="Pagas prorrateadas"),2705.41*(F305*G305),AND(D305=1,H305="Pagas no prorrateadas"),2318.93*(F305*G305),AND(D305=2,H305="Pagas prorrateadas"),2246.07*(F305*G305),AND(D305=2,H305="Pagas no prorrateadas"),1925.21*(F305*G305),AND(D305=3,H305="Pagas prorrateadas"),1775.44*(F305*G305),AND(D305=3,H305="Pagas no prorrateadas"),1521.81*(F305*G305),AND(D305=5,H305="Pagas prorrateadas"),1535.9*(F305*G305),AND(D305=5,H305="Pagas no prorrateadas"),1316.49*(F305*G305),AND(D305=7,H305="Pagas prorrateadas"),1493.61*(F305*G305),AND(D305=7,H305="Pagas no prorrateadas"),1280.24*(F305*G305)))</f>
        <v/>
      </c>
      <c r="K305" s="106" t="str">
        <f aca="false">IF(A305="","",IF(J305-I305&gt;=0,"OK",J305-I305))</f>
        <v/>
      </c>
    </row>
    <row r="306" customFormat="false" ht="14.25" hidden="false" customHeight="true" outlineLevel="0" collapsed="false">
      <c r="A306" s="106"/>
      <c r="B306" s="106"/>
      <c r="C306" s="107"/>
      <c r="D306" s="106"/>
      <c r="E306" s="106"/>
      <c r="F306" s="130" t="str">
        <f aca="false">IF(A306="","",MIN(E306/(37.5),1))</f>
        <v/>
      </c>
      <c r="G306" s="108"/>
      <c r="H306" s="106"/>
      <c r="I306" s="107"/>
      <c r="J306" s="131" t="str">
        <f aca="false" t="array" ref="J306:J306">IF(A306="","",ifs(AND(D306=1,H306="Pagas prorrateadas"),2705.41*(F306*G306),AND(D306=1,H306="Pagas no prorrateadas"),2318.93*(F306*G306),AND(D306=2,H306="Pagas prorrateadas"),2246.07*(F306*G306),AND(D306=2,H306="Pagas no prorrateadas"),1925.21*(F306*G306),AND(D306=3,H306="Pagas prorrateadas"),1775.44*(F306*G306),AND(D306=3,H306="Pagas no prorrateadas"),1521.81*(F306*G306),AND(D306=5,H306="Pagas prorrateadas"),1535.9*(F306*G306),AND(D306=5,H306="Pagas no prorrateadas"),1316.49*(F306*G306),AND(D306=7,H306="Pagas prorrateadas"),1493.61*(F306*G306),AND(D306=7,H306="Pagas no prorrateadas"),1280.24*(F306*G306)))</f>
        <v/>
      </c>
      <c r="K306" s="106" t="str">
        <f aca="false">IF(A306="","",IF(J306-I306&gt;=0,"OK",J306-I306))</f>
        <v/>
      </c>
    </row>
    <row r="307" customFormat="false" ht="14.25" hidden="false" customHeight="true" outlineLevel="0" collapsed="false">
      <c r="A307" s="106"/>
      <c r="B307" s="106"/>
      <c r="C307" s="107"/>
      <c r="D307" s="106"/>
      <c r="E307" s="106"/>
      <c r="F307" s="130" t="str">
        <f aca="false">IF(A307="","",MIN(E307/(37.5),1))</f>
        <v/>
      </c>
      <c r="G307" s="108"/>
      <c r="H307" s="106"/>
      <c r="I307" s="107"/>
      <c r="J307" s="131" t="str">
        <f aca="false" t="array" ref="J307:J307">IF(A307="","",ifs(AND(D307=1,H307="Pagas prorrateadas"),2705.41*(F307*G307),AND(D307=1,H307="Pagas no prorrateadas"),2318.93*(F307*G307),AND(D307=2,H307="Pagas prorrateadas"),2246.07*(F307*G307),AND(D307=2,H307="Pagas no prorrateadas"),1925.21*(F307*G307),AND(D307=3,H307="Pagas prorrateadas"),1775.44*(F307*G307),AND(D307=3,H307="Pagas no prorrateadas"),1521.81*(F307*G307),AND(D307=5,H307="Pagas prorrateadas"),1535.9*(F307*G307),AND(D307=5,H307="Pagas no prorrateadas"),1316.49*(F307*G307),AND(D307=7,H307="Pagas prorrateadas"),1493.61*(F307*G307),AND(D307=7,H307="Pagas no prorrateadas"),1280.24*(F307*G307)))</f>
        <v/>
      </c>
      <c r="K307" s="106" t="str">
        <f aca="false">IF(A307="","",IF(J307-I307&gt;=0,"OK",J307-I307))</f>
        <v/>
      </c>
    </row>
    <row r="308" customFormat="false" ht="14.25" hidden="false" customHeight="true" outlineLevel="0" collapsed="false">
      <c r="A308" s="106"/>
      <c r="B308" s="106"/>
      <c r="C308" s="107"/>
      <c r="D308" s="106"/>
      <c r="E308" s="106"/>
      <c r="F308" s="130" t="str">
        <f aca="false">IF(A308="","",MIN(E308/(37.5),1))</f>
        <v/>
      </c>
      <c r="G308" s="108"/>
      <c r="H308" s="106"/>
      <c r="I308" s="107"/>
      <c r="J308" s="131" t="str">
        <f aca="false" t="array" ref="J308:J308">IF(A308="","",ifs(AND(D308=1,H308="Pagas prorrateadas"),2705.41*(F308*G308),AND(D308=1,H308="Pagas no prorrateadas"),2318.93*(F308*G308),AND(D308=2,H308="Pagas prorrateadas"),2246.07*(F308*G308),AND(D308=2,H308="Pagas no prorrateadas"),1925.21*(F308*G308),AND(D308=3,H308="Pagas prorrateadas"),1775.44*(F308*G308),AND(D308=3,H308="Pagas no prorrateadas"),1521.81*(F308*G308),AND(D308=5,H308="Pagas prorrateadas"),1535.9*(F308*G308),AND(D308=5,H308="Pagas no prorrateadas"),1316.49*(F308*G308),AND(D308=7,H308="Pagas prorrateadas"),1493.61*(F308*G308),AND(D308=7,H308="Pagas no prorrateadas"),1280.24*(F308*G308)))</f>
        <v/>
      </c>
      <c r="K308" s="106" t="str">
        <f aca="false">IF(A308="","",IF(J308-I308&gt;=0,"OK",J308-I308))</f>
        <v/>
      </c>
    </row>
    <row r="309" customFormat="false" ht="14.25" hidden="false" customHeight="true" outlineLevel="0" collapsed="false">
      <c r="A309" s="106"/>
      <c r="B309" s="106"/>
      <c r="C309" s="107"/>
      <c r="D309" s="106"/>
      <c r="E309" s="106"/>
      <c r="F309" s="130" t="str">
        <f aca="false">IF(A309="","",MIN(E309/(37.5),1))</f>
        <v/>
      </c>
      <c r="G309" s="108"/>
      <c r="H309" s="106"/>
      <c r="I309" s="107"/>
      <c r="J309" s="131" t="str">
        <f aca="false" t="array" ref="J309:J309">IF(A309="","",ifs(AND(D309=1,H309="Pagas prorrateadas"),2705.41*(F309*G309),AND(D309=1,H309="Pagas no prorrateadas"),2318.93*(F309*G309),AND(D309=2,H309="Pagas prorrateadas"),2246.07*(F309*G309),AND(D309=2,H309="Pagas no prorrateadas"),1925.21*(F309*G309),AND(D309=3,H309="Pagas prorrateadas"),1775.44*(F309*G309),AND(D309=3,H309="Pagas no prorrateadas"),1521.81*(F309*G309),AND(D309=5,H309="Pagas prorrateadas"),1535.9*(F309*G309),AND(D309=5,H309="Pagas no prorrateadas"),1316.49*(F309*G309),AND(D309=7,H309="Pagas prorrateadas"),1493.61*(F309*G309),AND(D309=7,H309="Pagas no prorrateadas"),1280.24*(F309*G309)))</f>
        <v/>
      </c>
      <c r="K309" s="106" t="str">
        <f aca="false">IF(A309="","",IF(J309-I309&gt;=0,"OK",J309-I309))</f>
        <v/>
      </c>
    </row>
    <row r="310" customFormat="false" ht="14.25" hidden="false" customHeight="true" outlineLevel="0" collapsed="false">
      <c r="A310" s="106"/>
      <c r="B310" s="106"/>
      <c r="C310" s="107"/>
      <c r="D310" s="106"/>
      <c r="E310" s="106"/>
      <c r="F310" s="130" t="str">
        <f aca="false">IF(A310="","",MIN(E310/(37.5),1))</f>
        <v/>
      </c>
      <c r="G310" s="108"/>
      <c r="H310" s="106"/>
      <c r="I310" s="107"/>
      <c r="J310" s="131" t="str">
        <f aca="false" t="array" ref="J310:J310">IF(A310="","",ifs(AND(D310=1,H310="Pagas prorrateadas"),2705.41*(F310*G310),AND(D310=1,H310="Pagas no prorrateadas"),2318.93*(F310*G310),AND(D310=2,H310="Pagas prorrateadas"),2246.07*(F310*G310),AND(D310=2,H310="Pagas no prorrateadas"),1925.21*(F310*G310),AND(D310=3,H310="Pagas prorrateadas"),1775.44*(F310*G310),AND(D310=3,H310="Pagas no prorrateadas"),1521.81*(F310*G310),AND(D310=5,H310="Pagas prorrateadas"),1535.9*(F310*G310),AND(D310=5,H310="Pagas no prorrateadas"),1316.49*(F310*G310),AND(D310=7,H310="Pagas prorrateadas"),1493.61*(F310*G310),AND(D310=7,H310="Pagas no prorrateadas"),1280.24*(F310*G310)))</f>
        <v/>
      </c>
      <c r="K310" s="106" t="str">
        <f aca="false">IF(A310="","",IF(J310-I310&gt;=0,"OK",J310-I310))</f>
        <v/>
      </c>
    </row>
    <row r="311" customFormat="false" ht="14.25" hidden="false" customHeight="true" outlineLevel="0" collapsed="false">
      <c r="A311" s="106"/>
      <c r="B311" s="106"/>
      <c r="C311" s="107"/>
      <c r="D311" s="106"/>
      <c r="E311" s="106"/>
      <c r="F311" s="130" t="str">
        <f aca="false">IF(A311="","",MIN(E311/(37.5),1))</f>
        <v/>
      </c>
      <c r="G311" s="108"/>
      <c r="H311" s="106"/>
      <c r="I311" s="107"/>
      <c r="J311" s="131" t="str">
        <f aca="false" t="array" ref="J311:J311">IF(A311="","",ifs(AND(D311=1,H311="Pagas prorrateadas"),2705.41*(F311*G311),AND(D311=1,H311="Pagas no prorrateadas"),2318.93*(F311*G311),AND(D311=2,H311="Pagas prorrateadas"),2246.07*(F311*G311),AND(D311=2,H311="Pagas no prorrateadas"),1925.21*(F311*G311),AND(D311=3,H311="Pagas prorrateadas"),1775.44*(F311*G311),AND(D311=3,H311="Pagas no prorrateadas"),1521.81*(F311*G311),AND(D311=5,H311="Pagas prorrateadas"),1535.9*(F311*G311),AND(D311=5,H311="Pagas no prorrateadas"),1316.49*(F311*G311),AND(D311=7,H311="Pagas prorrateadas"),1493.61*(F311*G311),AND(D311=7,H311="Pagas no prorrateadas"),1280.24*(F311*G311)))</f>
        <v/>
      </c>
      <c r="K311" s="106" t="str">
        <f aca="false">IF(A311="","",IF(J311-I311&gt;=0,"OK",J311-I311))</f>
        <v/>
      </c>
    </row>
    <row r="312" customFormat="false" ht="14.25" hidden="false" customHeight="true" outlineLevel="0" collapsed="false">
      <c r="A312" s="106"/>
      <c r="B312" s="106"/>
      <c r="C312" s="107"/>
      <c r="D312" s="106"/>
      <c r="E312" s="106"/>
      <c r="F312" s="130" t="str">
        <f aca="false">IF(A312="","",MIN(E312/(37.5),1))</f>
        <v/>
      </c>
      <c r="G312" s="108"/>
      <c r="H312" s="106"/>
      <c r="I312" s="107"/>
      <c r="J312" s="131" t="str">
        <f aca="false" t="array" ref="J312:J312">IF(A312="","",ifs(AND(D312=1,H312="Pagas prorrateadas"),2705.41*(F312*G312),AND(D312=1,H312="Pagas no prorrateadas"),2318.93*(F312*G312),AND(D312=2,H312="Pagas prorrateadas"),2246.07*(F312*G312),AND(D312=2,H312="Pagas no prorrateadas"),1925.21*(F312*G312),AND(D312=3,H312="Pagas prorrateadas"),1775.44*(F312*G312),AND(D312=3,H312="Pagas no prorrateadas"),1521.81*(F312*G312),AND(D312=5,H312="Pagas prorrateadas"),1535.9*(F312*G312),AND(D312=5,H312="Pagas no prorrateadas"),1316.49*(F312*G312),AND(D312=7,H312="Pagas prorrateadas"),1493.61*(F312*G312),AND(D312=7,H312="Pagas no prorrateadas"),1280.24*(F312*G312)))</f>
        <v/>
      </c>
      <c r="K312" s="106" t="str">
        <f aca="false">IF(A312="","",IF(J312-I312&gt;=0,"OK",J312-I312))</f>
        <v/>
      </c>
    </row>
    <row r="313" customFormat="false" ht="14.25" hidden="false" customHeight="true" outlineLevel="0" collapsed="false">
      <c r="A313" s="106"/>
      <c r="B313" s="106"/>
      <c r="C313" s="107"/>
      <c r="D313" s="106"/>
      <c r="E313" s="106"/>
      <c r="F313" s="130" t="str">
        <f aca="false">IF(A313="","",MIN(E313/(37.5),1))</f>
        <v/>
      </c>
      <c r="G313" s="108"/>
      <c r="H313" s="106"/>
      <c r="I313" s="107"/>
      <c r="J313" s="131" t="str">
        <f aca="false" t="array" ref="J313:J313">IF(A313="","",ifs(AND(D313=1,H313="Pagas prorrateadas"),2705.41*(F313*G313),AND(D313=1,H313="Pagas no prorrateadas"),2318.93*(F313*G313),AND(D313=2,H313="Pagas prorrateadas"),2246.07*(F313*G313),AND(D313=2,H313="Pagas no prorrateadas"),1925.21*(F313*G313),AND(D313=3,H313="Pagas prorrateadas"),1775.44*(F313*G313),AND(D313=3,H313="Pagas no prorrateadas"),1521.81*(F313*G313),AND(D313=5,H313="Pagas prorrateadas"),1535.9*(F313*G313),AND(D313=5,H313="Pagas no prorrateadas"),1316.49*(F313*G313),AND(D313=7,H313="Pagas prorrateadas"),1493.61*(F313*G313),AND(D313=7,H313="Pagas no prorrateadas"),1280.24*(F313*G313)))</f>
        <v/>
      </c>
      <c r="K313" s="106" t="str">
        <f aca="false">IF(A313="","",IF(J313-I313&gt;=0,"OK",J313-I313))</f>
        <v/>
      </c>
    </row>
    <row r="314" customFormat="false" ht="14.25" hidden="false" customHeight="true" outlineLevel="0" collapsed="false">
      <c r="A314" s="106"/>
      <c r="B314" s="106"/>
      <c r="C314" s="107"/>
      <c r="D314" s="106"/>
      <c r="E314" s="106"/>
      <c r="F314" s="130" t="str">
        <f aca="false">IF(A314="","",MIN(E314/(37.5),1))</f>
        <v/>
      </c>
      <c r="G314" s="108"/>
      <c r="H314" s="106"/>
      <c r="I314" s="107"/>
      <c r="J314" s="131" t="str">
        <f aca="false" t="array" ref="J314:J314">IF(A314="","",ifs(AND(D314=1,H314="Pagas prorrateadas"),2705.41*(F314*G314),AND(D314=1,H314="Pagas no prorrateadas"),2318.93*(F314*G314),AND(D314=2,H314="Pagas prorrateadas"),2246.07*(F314*G314),AND(D314=2,H314="Pagas no prorrateadas"),1925.21*(F314*G314),AND(D314=3,H314="Pagas prorrateadas"),1775.44*(F314*G314),AND(D314=3,H314="Pagas no prorrateadas"),1521.81*(F314*G314),AND(D314=5,H314="Pagas prorrateadas"),1535.9*(F314*G314),AND(D314=5,H314="Pagas no prorrateadas"),1316.49*(F314*G314),AND(D314=7,H314="Pagas prorrateadas"),1493.61*(F314*G314),AND(D314=7,H314="Pagas no prorrateadas"),1280.24*(F314*G314)))</f>
        <v/>
      </c>
      <c r="K314" s="106" t="str">
        <f aca="false">IF(A314="","",IF(J314-I314&gt;=0,"OK",J314-I314))</f>
        <v/>
      </c>
    </row>
    <row r="315" customFormat="false" ht="14.25" hidden="false" customHeight="true" outlineLevel="0" collapsed="false">
      <c r="A315" s="106"/>
      <c r="B315" s="106"/>
      <c r="C315" s="107"/>
      <c r="D315" s="106"/>
      <c r="E315" s="106"/>
      <c r="F315" s="130" t="str">
        <f aca="false">IF(A315="","",MIN(E315/(37.5),1))</f>
        <v/>
      </c>
      <c r="G315" s="108"/>
      <c r="H315" s="106"/>
      <c r="I315" s="107"/>
      <c r="J315" s="131" t="str">
        <f aca="false" t="array" ref="J315:J315">IF(A315="","",ifs(AND(D315=1,H315="Pagas prorrateadas"),2705.41*(F315*G315),AND(D315=1,H315="Pagas no prorrateadas"),2318.93*(F315*G315),AND(D315=2,H315="Pagas prorrateadas"),2246.07*(F315*G315),AND(D315=2,H315="Pagas no prorrateadas"),1925.21*(F315*G315),AND(D315=3,H315="Pagas prorrateadas"),1775.44*(F315*G315),AND(D315=3,H315="Pagas no prorrateadas"),1521.81*(F315*G315),AND(D315=5,H315="Pagas prorrateadas"),1535.9*(F315*G315),AND(D315=5,H315="Pagas no prorrateadas"),1316.49*(F315*G315),AND(D315=7,H315="Pagas prorrateadas"),1493.61*(F315*G315),AND(D315=7,H315="Pagas no prorrateadas"),1280.24*(F315*G315)))</f>
        <v/>
      </c>
      <c r="K315" s="106" t="str">
        <f aca="false">IF(A315="","",IF(J315-I315&gt;=0,"OK",J315-I315))</f>
        <v/>
      </c>
    </row>
    <row r="316" customFormat="false" ht="14.25" hidden="false" customHeight="true" outlineLevel="0" collapsed="false">
      <c r="A316" s="106"/>
      <c r="B316" s="106"/>
      <c r="C316" s="107"/>
      <c r="D316" s="106"/>
      <c r="E316" s="106"/>
      <c r="F316" s="130" t="str">
        <f aca="false">IF(A316="","",MIN(E316/(37.5),1))</f>
        <v/>
      </c>
      <c r="G316" s="108"/>
      <c r="H316" s="106"/>
      <c r="I316" s="107"/>
      <c r="J316" s="131" t="str">
        <f aca="false" t="array" ref="J316:J316">IF(A316="","",ifs(AND(D316=1,H316="Pagas prorrateadas"),2705.41*(F316*G316),AND(D316=1,H316="Pagas no prorrateadas"),2318.93*(F316*G316),AND(D316=2,H316="Pagas prorrateadas"),2246.07*(F316*G316),AND(D316=2,H316="Pagas no prorrateadas"),1925.21*(F316*G316),AND(D316=3,H316="Pagas prorrateadas"),1775.44*(F316*G316),AND(D316=3,H316="Pagas no prorrateadas"),1521.81*(F316*G316),AND(D316=5,H316="Pagas prorrateadas"),1535.9*(F316*G316),AND(D316=5,H316="Pagas no prorrateadas"),1316.49*(F316*G316),AND(D316=7,H316="Pagas prorrateadas"),1493.61*(F316*G316),AND(D316=7,H316="Pagas no prorrateadas"),1280.24*(F316*G316)))</f>
        <v/>
      </c>
      <c r="K316" s="106" t="str">
        <f aca="false">IF(A316="","",IF(J316-I316&gt;=0,"OK",J316-I316))</f>
        <v/>
      </c>
    </row>
    <row r="317" customFormat="false" ht="14.25" hidden="false" customHeight="true" outlineLevel="0" collapsed="false">
      <c r="A317" s="106"/>
      <c r="B317" s="106"/>
      <c r="C317" s="107"/>
      <c r="D317" s="106"/>
      <c r="E317" s="106"/>
      <c r="F317" s="130" t="str">
        <f aca="false">IF(A317="","",MIN(E317/(37.5),1))</f>
        <v/>
      </c>
      <c r="G317" s="108"/>
      <c r="H317" s="106"/>
      <c r="I317" s="107"/>
      <c r="J317" s="131" t="str">
        <f aca="false" t="array" ref="J317:J317">IF(A317="","",ifs(AND(D317=1,H317="Pagas prorrateadas"),2705.41*(F317*G317),AND(D317=1,H317="Pagas no prorrateadas"),2318.93*(F317*G317),AND(D317=2,H317="Pagas prorrateadas"),2246.07*(F317*G317),AND(D317=2,H317="Pagas no prorrateadas"),1925.21*(F317*G317),AND(D317=3,H317="Pagas prorrateadas"),1775.44*(F317*G317),AND(D317=3,H317="Pagas no prorrateadas"),1521.81*(F317*G317),AND(D317=5,H317="Pagas prorrateadas"),1535.9*(F317*G317),AND(D317=5,H317="Pagas no prorrateadas"),1316.49*(F317*G317),AND(D317=7,H317="Pagas prorrateadas"),1493.61*(F317*G317),AND(D317=7,H317="Pagas no prorrateadas"),1280.24*(F317*G317)))</f>
        <v/>
      </c>
      <c r="K317" s="106" t="str">
        <f aca="false">IF(A317="","",IF(J317-I317&gt;=0,"OK",J317-I317))</f>
        <v/>
      </c>
    </row>
    <row r="318" customFormat="false" ht="14.25" hidden="false" customHeight="true" outlineLevel="0" collapsed="false">
      <c r="A318" s="106"/>
      <c r="B318" s="106"/>
      <c r="C318" s="107"/>
      <c r="D318" s="106"/>
      <c r="E318" s="106"/>
      <c r="F318" s="130" t="str">
        <f aca="false">IF(A318="","",MIN(E318/(37.5),1))</f>
        <v/>
      </c>
      <c r="G318" s="108"/>
      <c r="H318" s="106"/>
      <c r="I318" s="107"/>
      <c r="J318" s="131" t="str">
        <f aca="false" t="array" ref="J318:J318">IF(A318="","",ifs(AND(D318=1,H318="Pagas prorrateadas"),2705.41*(F318*G318),AND(D318=1,H318="Pagas no prorrateadas"),2318.93*(F318*G318),AND(D318=2,H318="Pagas prorrateadas"),2246.07*(F318*G318),AND(D318=2,H318="Pagas no prorrateadas"),1925.21*(F318*G318),AND(D318=3,H318="Pagas prorrateadas"),1775.44*(F318*G318),AND(D318=3,H318="Pagas no prorrateadas"),1521.81*(F318*G318),AND(D318=5,H318="Pagas prorrateadas"),1535.9*(F318*G318),AND(D318=5,H318="Pagas no prorrateadas"),1316.49*(F318*G318),AND(D318=7,H318="Pagas prorrateadas"),1493.61*(F318*G318),AND(D318=7,H318="Pagas no prorrateadas"),1280.24*(F318*G318)))</f>
        <v/>
      </c>
      <c r="K318" s="106" t="str">
        <f aca="false">IF(A318="","",IF(J318-I318&gt;=0,"OK",J318-I318))</f>
        <v/>
      </c>
    </row>
    <row r="319" customFormat="false" ht="14.25" hidden="false" customHeight="true" outlineLevel="0" collapsed="false">
      <c r="A319" s="106"/>
      <c r="B319" s="106"/>
      <c r="C319" s="107"/>
      <c r="D319" s="106"/>
      <c r="E319" s="106"/>
      <c r="F319" s="130" t="str">
        <f aca="false">IF(A319="","",MIN(E319/(37.5),1))</f>
        <v/>
      </c>
      <c r="G319" s="108"/>
      <c r="H319" s="106"/>
      <c r="I319" s="107"/>
      <c r="J319" s="131" t="str">
        <f aca="false" t="array" ref="J319:J319">IF(A319="","",ifs(AND(D319=1,H319="Pagas prorrateadas"),2705.41*(F319*G319),AND(D319=1,H319="Pagas no prorrateadas"),2318.93*(F319*G319),AND(D319=2,H319="Pagas prorrateadas"),2246.07*(F319*G319),AND(D319=2,H319="Pagas no prorrateadas"),1925.21*(F319*G319),AND(D319=3,H319="Pagas prorrateadas"),1775.44*(F319*G319),AND(D319=3,H319="Pagas no prorrateadas"),1521.81*(F319*G319),AND(D319=5,H319="Pagas prorrateadas"),1535.9*(F319*G319),AND(D319=5,H319="Pagas no prorrateadas"),1316.49*(F319*G319),AND(D319=7,H319="Pagas prorrateadas"),1493.61*(F319*G319),AND(D319=7,H319="Pagas no prorrateadas"),1280.24*(F319*G319)))</f>
        <v/>
      </c>
      <c r="K319" s="106" t="str">
        <f aca="false">IF(A319="","",IF(J319-I319&gt;=0,"OK",J319-I319))</f>
        <v/>
      </c>
    </row>
    <row r="320" customFormat="false" ht="14.25" hidden="false" customHeight="true" outlineLevel="0" collapsed="false">
      <c r="A320" s="106"/>
      <c r="B320" s="106"/>
      <c r="C320" s="107"/>
      <c r="D320" s="106"/>
      <c r="E320" s="106"/>
      <c r="F320" s="130" t="str">
        <f aca="false">IF(A320="","",MIN(E320/(37.5),1))</f>
        <v/>
      </c>
      <c r="G320" s="108"/>
      <c r="H320" s="106"/>
      <c r="I320" s="107"/>
      <c r="J320" s="131" t="str">
        <f aca="false" t="array" ref="J320:J320">IF(A320="","",ifs(AND(D320=1,H320="Pagas prorrateadas"),2705.41*(F320*G320),AND(D320=1,H320="Pagas no prorrateadas"),2318.93*(F320*G320),AND(D320=2,H320="Pagas prorrateadas"),2246.07*(F320*G320),AND(D320=2,H320="Pagas no prorrateadas"),1925.21*(F320*G320),AND(D320=3,H320="Pagas prorrateadas"),1775.44*(F320*G320),AND(D320=3,H320="Pagas no prorrateadas"),1521.81*(F320*G320),AND(D320=5,H320="Pagas prorrateadas"),1535.9*(F320*G320),AND(D320=5,H320="Pagas no prorrateadas"),1316.49*(F320*G320),AND(D320=7,H320="Pagas prorrateadas"),1493.61*(F320*G320),AND(D320=7,H320="Pagas no prorrateadas"),1280.24*(F320*G320)))</f>
        <v/>
      </c>
      <c r="K320" s="106" t="str">
        <f aca="false">IF(A320="","",IF(J320-I320&gt;=0,"OK",J320-I320))</f>
        <v/>
      </c>
    </row>
    <row r="321" customFormat="false" ht="14.25" hidden="false" customHeight="true" outlineLevel="0" collapsed="false">
      <c r="A321" s="106"/>
      <c r="B321" s="106"/>
      <c r="C321" s="107"/>
      <c r="D321" s="106"/>
      <c r="E321" s="106"/>
      <c r="F321" s="130" t="str">
        <f aca="false">IF(A321="","",MIN(E321/(37.5),1))</f>
        <v/>
      </c>
      <c r="G321" s="108"/>
      <c r="H321" s="106"/>
      <c r="I321" s="107"/>
      <c r="J321" s="131" t="str">
        <f aca="false" t="array" ref="J321:J321">IF(A321="","",ifs(AND(D321=1,H321="Pagas prorrateadas"),2705.41*(F321*G321),AND(D321=1,H321="Pagas no prorrateadas"),2318.93*(F321*G321),AND(D321=2,H321="Pagas prorrateadas"),2246.07*(F321*G321),AND(D321=2,H321="Pagas no prorrateadas"),1925.21*(F321*G321),AND(D321=3,H321="Pagas prorrateadas"),1775.44*(F321*G321),AND(D321=3,H321="Pagas no prorrateadas"),1521.81*(F321*G321),AND(D321=5,H321="Pagas prorrateadas"),1535.9*(F321*G321),AND(D321=5,H321="Pagas no prorrateadas"),1316.49*(F321*G321),AND(D321=7,H321="Pagas prorrateadas"),1493.61*(F321*G321),AND(D321=7,H321="Pagas no prorrateadas"),1280.24*(F321*G321)))</f>
        <v/>
      </c>
      <c r="K321" s="106" t="str">
        <f aca="false">IF(A321="","",IF(J321-I321&gt;=0,"OK",J321-I321))</f>
        <v/>
      </c>
    </row>
    <row r="322" customFormat="false" ht="14.25" hidden="false" customHeight="true" outlineLevel="0" collapsed="false">
      <c r="A322" s="106"/>
      <c r="B322" s="106"/>
      <c r="C322" s="107"/>
      <c r="D322" s="106"/>
      <c r="E322" s="106"/>
      <c r="F322" s="130" t="str">
        <f aca="false">IF(A322="","",MIN(E322/(37.5),1))</f>
        <v/>
      </c>
      <c r="G322" s="108"/>
      <c r="H322" s="106"/>
      <c r="I322" s="107"/>
      <c r="J322" s="131" t="str">
        <f aca="false" t="array" ref="J322:J322">IF(A322="","",ifs(AND(D322=1,H322="Pagas prorrateadas"),2705.41*(F322*G322),AND(D322=1,H322="Pagas no prorrateadas"),2318.93*(F322*G322),AND(D322=2,H322="Pagas prorrateadas"),2246.07*(F322*G322),AND(D322=2,H322="Pagas no prorrateadas"),1925.21*(F322*G322),AND(D322=3,H322="Pagas prorrateadas"),1775.44*(F322*G322),AND(D322=3,H322="Pagas no prorrateadas"),1521.81*(F322*G322),AND(D322=5,H322="Pagas prorrateadas"),1535.9*(F322*G322),AND(D322=5,H322="Pagas no prorrateadas"),1316.49*(F322*G322),AND(D322=7,H322="Pagas prorrateadas"),1493.61*(F322*G322),AND(D322=7,H322="Pagas no prorrateadas"),1280.24*(F322*G322)))</f>
        <v/>
      </c>
      <c r="K322" s="106" t="str">
        <f aca="false">IF(A322="","",IF(J322-I322&gt;=0,"OK",J322-I322))</f>
        <v/>
      </c>
    </row>
    <row r="323" customFormat="false" ht="14.25" hidden="false" customHeight="true" outlineLevel="0" collapsed="false">
      <c r="A323" s="106"/>
      <c r="B323" s="106"/>
      <c r="C323" s="107"/>
      <c r="D323" s="106"/>
      <c r="E323" s="106"/>
      <c r="F323" s="130" t="str">
        <f aca="false">IF(A323="","",MIN(E323/(37.5),1))</f>
        <v/>
      </c>
      <c r="G323" s="108"/>
      <c r="H323" s="106"/>
      <c r="I323" s="107"/>
      <c r="J323" s="131" t="str">
        <f aca="false" t="array" ref="J323:J323">IF(A323="","",ifs(AND(D323=1,H323="Pagas prorrateadas"),2705.41*(F323*G323),AND(D323=1,H323="Pagas no prorrateadas"),2318.93*(F323*G323),AND(D323=2,H323="Pagas prorrateadas"),2246.07*(F323*G323),AND(D323=2,H323="Pagas no prorrateadas"),1925.21*(F323*G323),AND(D323=3,H323="Pagas prorrateadas"),1775.44*(F323*G323),AND(D323=3,H323="Pagas no prorrateadas"),1521.81*(F323*G323),AND(D323=5,H323="Pagas prorrateadas"),1535.9*(F323*G323),AND(D323=5,H323="Pagas no prorrateadas"),1316.49*(F323*G323),AND(D323=7,H323="Pagas prorrateadas"),1493.61*(F323*G323),AND(D323=7,H323="Pagas no prorrateadas"),1280.24*(F323*G323)))</f>
        <v/>
      </c>
      <c r="K323" s="106" t="str">
        <f aca="false">IF(A323="","",IF(J323-I323&gt;=0,"OK",J323-I323))</f>
        <v/>
      </c>
    </row>
    <row r="324" customFormat="false" ht="14.25" hidden="false" customHeight="true" outlineLevel="0" collapsed="false">
      <c r="A324" s="106"/>
      <c r="B324" s="106"/>
      <c r="C324" s="107"/>
      <c r="D324" s="106"/>
      <c r="E324" s="106"/>
      <c r="F324" s="130" t="str">
        <f aca="false">IF(A324="","",MIN(E324/(37.5),1))</f>
        <v/>
      </c>
      <c r="G324" s="108"/>
      <c r="H324" s="106"/>
      <c r="I324" s="107"/>
      <c r="J324" s="131" t="str">
        <f aca="false" t="array" ref="J324:J324">IF(A324="","",ifs(AND(D324=1,H324="Pagas prorrateadas"),2705.41*(F324*G324),AND(D324=1,H324="Pagas no prorrateadas"),2318.93*(F324*G324),AND(D324=2,H324="Pagas prorrateadas"),2246.07*(F324*G324),AND(D324=2,H324="Pagas no prorrateadas"),1925.21*(F324*G324),AND(D324=3,H324="Pagas prorrateadas"),1775.44*(F324*G324),AND(D324=3,H324="Pagas no prorrateadas"),1521.81*(F324*G324),AND(D324=5,H324="Pagas prorrateadas"),1535.9*(F324*G324),AND(D324=5,H324="Pagas no prorrateadas"),1316.49*(F324*G324),AND(D324=7,H324="Pagas prorrateadas"),1493.61*(F324*G324),AND(D324=7,H324="Pagas no prorrateadas"),1280.24*(F324*G324)))</f>
        <v/>
      </c>
      <c r="K324" s="106" t="str">
        <f aca="false">IF(A324="","",IF(J324-I324&gt;=0,"OK",J324-I324))</f>
        <v/>
      </c>
    </row>
    <row r="325" customFormat="false" ht="14.25" hidden="false" customHeight="true" outlineLevel="0" collapsed="false">
      <c r="A325" s="106"/>
      <c r="B325" s="106"/>
      <c r="C325" s="107"/>
      <c r="D325" s="106"/>
      <c r="E325" s="106"/>
      <c r="F325" s="130" t="str">
        <f aca="false">IF(A325="","",MIN(E325/(37.5),1))</f>
        <v/>
      </c>
      <c r="G325" s="108"/>
      <c r="H325" s="106"/>
      <c r="I325" s="107"/>
      <c r="J325" s="131" t="str">
        <f aca="false" t="array" ref="J325:J325">IF(A325="","",ifs(AND(D325=1,H325="Pagas prorrateadas"),2705.41*(F325*G325),AND(D325=1,H325="Pagas no prorrateadas"),2318.93*(F325*G325),AND(D325=2,H325="Pagas prorrateadas"),2246.07*(F325*G325),AND(D325=2,H325="Pagas no prorrateadas"),1925.21*(F325*G325),AND(D325=3,H325="Pagas prorrateadas"),1775.44*(F325*G325),AND(D325=3,H325="Pagas no prorrateadas"),1521.81*(F325*G325),AND(D325=5,H325="Pagas prorrateadas"),1535.9*(F325*G325),AND(D325=5,H325="Pagas no prorrateadas"),1316.49*(F325*G325),AND(D325=7,H325="Pagas prorrateadas"),1493.61*(F325*G325),AND(D325=7,H325="Pagas no prorrateadas"),1280.24*(F325*G325)))</f>
        <v/>
      </c>
      <c r="K325" s="106" t="str">
        <f aca="false">IF(A325="","",IF(J325-I325&gt;=0,"OK",J325-I325))</f>
        <v/>
      </c>
    </row>
    <row r="326" customFormat="false" ht="14.25" hidden="false" customHeight="true" outlineLevel="0" collapsed="false">
      <c r="A326" s="106"/>
      <c r="B326" s="106"/>
      <c r="C326" s="107"/>
      <c r="D326" s="106"/>
      <c r="E326" s="106"/>
      <c r="F326" s="130" t="str">
        <f aca="false">IF(A326="","",MIN(E326/(37.5),1))</f>
        <v/>
      </c>
      <c r="G326" s="108"/>
      <c r="H326" s="106"/>
      <c r="I326" s="107"/>
      <c r="J326" s="131" t="str">
        <f aca="false" t="array" ref="J326:J326">IF(A326="","",ifs(AND(D326=1,H326="Pagas prorrateadas"),2705.41*(F326*G326),AND(D326=1,H326="Pagas no prorrateadas"),2318.93*(F326*G326),AND(D326=2,H326="Pagas prorrateadas"),2246.07*(F326*G326),AND(D326=2,H326="Pagas no prorrateadas"),1925.21*(F326*G326),AND(D326=3,H326="Pagas prorrateadas"),1775.44*(F326*G326),AND(D326=3,H326="Pagas no prorrateadas"),1521.81*(F326*G326),AND(D326=5,H326="Pagas prorrateadas"),1535.9*(F326*G326),AND(D326=5,H326="Pagas no prorrateadas"),1316.49*(F326*G326),AND(D326=7,H326="Pagas prorrateadas"),1493.61*(F326*G326),AND(D326=7,H326="Pagas no prorrateadas"),1280.24*(F326*G326)))</f>
        <v/>
      </c>
      <c r="K326" s="106" t="str">
        <f aca="false">IF(A326="","",IF(J326-I326&gt;=0,"OK",J326-I326))</f>
        <v/>
      </c>
    </row>
    <row r="327" customFormat="false" ht="14.25" hidden="false" customHeight="true" outlineLevel="0" collapsed="false">
      <c r="A327" s="106"/>
      <c r="B327" s="106"/>
      <c r="C327" s="107"/>
      <c r="D327" s="106"/>
      <c r="E327" s="106"/>
      <c r="F327" s="130" t="str">
        <f aca="false">IF(A327="","",MIN(E327/(37.5),1))</f>
        <v/>
      </c>
      <c r="G327" s="108"/>
      <c r="H327" s="106"/>
      <c r="I327" s="107"/>
      <c r="J327" s="131" t="str">
        <f aca="false" t="array" ref="J327:J327">IF(A327="","",ifs(AND(D327=1,H327="Pagas prorrateadas"),2705.41*(F327*G327),AND(D327=1,H327="Pagas no prorrateadas"),2318.93*(F327*G327),AND(D327=2,H327="Pagas prorrateadas"),2246.07*(F327*G327),AND(D327=2,H327="Pagas no prorrateadas"),1925.21*(F327*G327),AND(D327=3,H327="Pagas prorrateadas"),1775.44*(F327*G327),AND(D327=3,H327="Pagas no prorrateadas"),1521.81*(F327*G327),AND(D327=5,H327="Pagas prorrateadas"),1535.9*(F327*G327),AND(D327=5,H327="Pagas no prorrateadas"),1316.49*(F327*G327),AND(D327=7,H327="Pagas prorrateadas"),1493.61*(F327*G327),AND(D327=7,H327="Pagas no prorrateadas"),1280.24*(F327*G327)))</f>
        <v/>
      </c>
      <c r="K327" s="106" t="str">
        <f aca="false">IF(A327="","",IF(J327-I327&gt;=0,"OK",J327-I327))</f>
        <v/>
      </c>
    </row>
    <row r="328" customFormat="false" ht="14.25" hidden="false" customHeight="true" outlineLevel="0" collapsed="false">
      <c r="A328" s="106"/>
      <c r="B328" s="106"/>
      <c r="C328" s="107"/>
      <c r="D328" s="106"/>
      <c r="E328" s="106"/>
      <c r="F328" s="130" t="str">
        <f aca="false">IF(A328="","",MIN(E328/(37.5),1))</f>
        <v/>
      </c>
      <c r="G328" s="108"/>
      <c r="H328" s="106"/>
      <c r="I328" s="107"/>
      <c r="J328" s="131" t="str">
        <f aca="false" t="array" ref="J328:J328">IF(A328="","",ifs(AND(D328=1,H328="Pagas prorrateadas"),2705.41*(F328*G328),AND(D328=1,H328="Pagas no prorrateadas"),2318.93*(F328*G328),AND(D328=2,H328="Pagas prorrateadas"),2246.07*(F328*G328),AND(D328=2,H328="Pagas no prorrateadas"),1925.21*(F328*G328),AND(D328=3,H328="Pagas prorrateadas"),1775.44*(F328*G328),AND(D328=3,H328="Pagas no prorrateadas"),1521.81*(F328*G328),AND(D328=5,H328="Pagas prorrateadas"),1535.9*(F328*G328),AND(D328=5,H328="Pagas no prorrateadas"),1316.49*(F328*G328),AND(D328=7,H328="Pagas prorrateadas"),1493.61*(F328*G328),AND(D328=7,H328="Pagas no prorrateadas"),1280.24*(F328*G328)))</f>
        <v/>
      </c>
      <c r="K328" s="106" t="str">
        <f aca="false">IF(A328="","",IF(J328-I328&gt;=0,"OK",J328-I328))</f>
        <v/>
      </c>
    </row>
    <row r="329" customFormat="false" ht="14.25" hidden="false" customHeight="true" outlineLevel="0" collapsed="false">
      <c r="A329" s="106"/>
      <c r="B329" s="106"/>
      <c r="C329" s="107"/>
      <c r="D329" s="106"/>
      <c r="E329" s="106"/>
      <c r="F329" s="130" t="str">
        <f aca="false">IF(A329="","",MIN(E329/(37.5),1))</f>
        <v/>
      </c>
      <c r="G329" s="108"/>
      <c r="H329" s="106"/>
      <c r="I329" s="107"/>
      <c r="J329" s="131" t="str">
        <f aca="false" t="array" ref="J329:J329">IF(A329="","",ifs(AND(D329=1,H329="Pagas prorrateadas"),2705.41*(F329*G329),AND(D329=1,H329="Pagas no prorrateadas"),2318.93*(F329*G329),AND(D329=2,H329="Pagas prorrateadas"),2246.07*(F329*G329),AND(D329=2,H329="Pagas no prorrateadas"),1925.21*(F329*G329),AND(D329=3,H329="Pagas prorrateadas"),1775.44*(F329*G329),AND(D329=3,H329="Pagas no prorrateadas"),1521.81*(F329*G329),AND(D329=5,H329="Pagas prorrateadas"),1535.9*(F329*G329),AND(D329=5,H329="Pagas no prorrateadas"),1316.49*(F329*G329),AND(D329=7,H329="Pagas prorrateadas"),1493.61*(F329*G329),AND(D329=7,H329="Pagas no prorrateadas"),1280.24*(F329*G329)))</f>
        <v/>
      </c>
      <c r="K329" s="106" t="str">
        <f aca="false">IF(A329="","",IF(J329-I329&gt;=0,"OK",J329-I329))</f>
        <v/>
      </c>
    </row>
    <row r="330" customFormat="false" ht="14.25" hidden="false" customHeight="true" outlineLevel="0" collapsed="false">
      <c r="A330" s="106"/>
      <c r="B330" s="106"/>
      <c r="C330" s="107"/>
      <c r="D330" s="106"/>
      <c r="E330" s="106"/>
      <c r="F330" s="130" t="str">
        <f aca="false">IF(A330="","",MIN(E330/(37.5),1))</f>
        <v/>
      </c>
      <c r="G330" s="108"/>
      <c r="H330" s="106"/>
      <c r="I330" s="107"/>
      <c r="J330" s="131" t="str">
        <f aca="false" t="array" ref="J330:J330">IF(A330="","",ifs(AND(D330=1,H330="Pagas prorrateadas"),2705.41*(F330*G330),AND(D330=1,H330="Pagas no prorrateadas"),2318.93*(F330*G330),AND(D330=2,H330="Pagas prorrateadas"),2246.07*(F330*G330),AND(D330=2,H330="Pagas no prorrateadas"),1925.21*(F330*G330),AND(D330=3,H330="Pagas prorrateadas"),1775.44*(F330*G330),AND(D330=3,H330="Pagas no prorrateadas"),1521.81*(F330*G330),AND(D330=5,H330="Pagas prorrateadas"),1535.9*(F330*G330),AND(D330=5,H330="Pagas no prorrateadas"),1316.49*(F330*G330),AND(D330=7,H330="Pagas prorrateadas"),1493.61*(F330*G330),AND(D330=7,H330="Pagas no prorrateadas"),1280.24*(F330*G330)))</f>
        <v/>
      </c>
      <c r="K330" s="106" t="str">
        <f aca="false">IF(A330="","",IF(J330-I330&gt;=0,"OK",J330-I330))</f>
        <v/>
      </c>
    </row>
    <row r="331" customFormat="false" ht="14.25" hidden="false" customHeight="true" outlineLevel="0" collapsed="false">
      <c r="A331" s="106"/>
      <c r="B331" s="106"/>
      <c r="C331" s="107"/>
      <c r="D331" s="106"/>
      <c r="E331" s="106"/>
      <c r="F331" s="130" t="str">
        <f aca="false">IF(A331="","",MIN(E331/(37.5),1))</f>
        <v/>
      </c>
      <c r="G331" s="108"/>
      <c r="H331" s="106"/>
      <c r="I331" s="107"/>
      <c r="J331" s="131" t="str">
        <f aca="false" t="array" ref="J331:J331">IF(A331="","",ifs(AND(D331=1,H331="Pagas prorrateadas"),2705.41*(F331*G331),AND(D331=1,H331="Pagas no prorrateadas"),2318.93*(F331*G331),AND(D331=2,H331="Pagas prorrateadas"),2246.07*(F331*G331),AND(D331=2,H331="Pagas no prorrateadas"),1925.21*(F331*G331),AND(D331=3,H331="Pagas prorrateadas"),1775.44*(F331*G331),AND(D331=3,H331="Pagas no prorrateadas"),1521.81*(F331*G331),AND(D331=5,H331="Pagas prorrateadas"),1535.9*(F331*G331),AND(D331=5,H331="Pagas no prorrateadas"),1316.49*(F331*G331),AND(D331=7,H331="Pagas prorrateadas"),1493.61*(F331*G331),AND(D331=7,H331="Pagas no prorrateadas"),1280.24*(F331*G331)))</f>
        <v/>
      </c>
      <c r="K331" s="106" t="str">
        <f aca="false">IF(A331="","",IF(J331-I331&gt;=0,"OK",J331-I331))</f>
        <v/>
      </c>
    </row>
    <row r="332" customFormat="false" ht="14.25" hidden="false" customHeight="true" outlineLevel="0" collapsed="false">
      <c r="A332" s="106"/>
      <c r="B332" s="106"/>
      <c r="C332" s="107"/>
      <c r="D332" s="106"/>
      <c r="E332" s="106"/>
      <c r="F332" s="130" t="str">
        <f aca="false">IF(A332="","",MIN(E332/(37.5),1))</f>
        <v/>
      </c>
      <c r="G332" s="108"/>
      <c r="H332" s="106"/>
      <c r="I332" s="107"/>
      <c r="J332" s="131" t="str">
        <f aca="false" t="array" ref="J332:J332">IF(A332="","",ifs(AND(D332=1,H332="Pagas prorrateadas"),2705.41*(F332*G332),AND(D332=1,H332="Pagas no prorrateadas"),2318.93*(F332*G332),AND(D332=2,H332="Pagas prorrateadas"),2246.07*(F332*G332),AND(D332=2,H332="Pagas no prorrateadas"),1925.21*(F332*G332),AND(D332=3,H332="Pagas prorrateadas"),1775.44*(F332*G332),AND(D332=3,H332="Pagas no prorrateadas"),1521.81*(F332*G332),AND(D332=5,H332="Pagas prorrateadas"),1535.9*(F332*G332),AND(D332=5,H332="Pagas no prorrateadas"),1316.49*(F332*G332),AND(D332=7,H332="Pagas prorrateadas"),1493.61*(F332*G332),AND(D332=7,H332="Pagas no prorrateadas"),1280.24*(F332*G332)))</f>
        <v/>
      </c>
      <c r="K332" s="106" t="str">
        <f aca="false">IF(A332="","",IF(J332-I332&gt;=0,"OK",J332-I332))</f>
        <v/>
      </c>
    </row>
    <row r="333" customFormat="false" ht="14.25" hidden="false" customHeight="true" outlineLevel="0" collapsed="false">
      <c r="A333" s="106"/>
      <c r="B333" s="106"/>
      <c r="C333" s="107"/>
      <c r="D333" s="106"/>
      <c r="E333" s="106"/>
      <c r="F333" s="130" t="str">
        <f aca="false">IF(A333="","",MIN(E333/(37.5),1))</f>
        <v/>
      </c>
      <c r="G333" s="108"/>
      <c r="H333" s="106"/>
      <c r="I333" s="107"/>
      <c r="J333" s="131" t="str">
        <f aca="false" t="array" ref="J333:J333">IF(A333="","",ifs(AND(D333=1,H333="Pagas prorrateadas"),2705.41*(F333*G333),AND(D333=1,H333="Pagas no prorrateadas"),2318.93*(F333*G333),AND(D333=2,H333="Pagas prorrateadas"),2246.07*(F333*G333),AND(D333=2,H333="Pagas no prorrateadas"),1925.21*(F333*G333),AND(D333=3,H333="Pagas prorrateadas"),1775.44*(F333*G333),AND(D333=3,H333="Pagas no prorrateadas"),1521.81*(F333*G333),AND(D333=5,H333="Pagas prorrateadas"),1535.9*(F333*G333),AND(D333=5,H333="Pagas no prorrateadas"),1316.49*(F333*G333),AND(D333=7,H333="Pagas prorrateadas"),1493.61*(F333*G333),AND(D333=7,H333="Pagas no prorrateadas"),1280.24*(F333*G333)))</f>
        <v/>
      </c>
      <c r="K333" s="106" t="str">
        <f aca="false">IF(A333="","",IF(J333-I333&gt;=0,"OK",J333-I333))</f>
        <v/>
      </c>
    </row>
    <row r="334" customFormat="false" ht="14.25" hidden="false" customHeight="true" outlineLevel="0" collapsed="false">
      <c r="A334" s="106"/>
      <c r="B334" s="106"/>
      <c r="C334" s="107"/>
      <c r="D334" s="106"/>
      <c r="E334" s="106"/>
      <c r="F334" s="130" t="str">
        <f aca="false">IF(A334="","",MIN(E334/(37.5),1))</f>
        <v/>
      </c>
      <c r="G334" s="108"/>
      <c r="H334" s="106"/>
      <c r="I334" s="107"/>
      <c r="J334" s="131" t="str">
        <f aca="false" t="array" ref="J334:J334">IF(A334="","",ifs(AND(D334=1,H334="Pagas prorrateadas"),2705.41*(F334*G334),AND(D334=1,H334="Pagas no prorrateadas"),2318.93*(F334*G334),AND(D334=2,H334="Pagas prorrateadas"),2246.07*(F334*G334),AND(D334=2,H334="Pagas no prorrateadas"),1925.21*(F334*G334),AND(D334=3,H334="Pagas prorrateadas"),1775.44*(F334*G334),AND(D334=3,H334="Pagas no prorrateadas"),1521.81*(F334*G334),AND(D334=5,H334="Pagas prorrateadas"),1535.9*(F334*G334),AND(D334=5,H334="Pagas no prorrateadas"),1316.49*(F334*G334),AND(D334=7,H334="Pagas prorrateadas"),1493.61*(F334*G334),AND(D334=7,H334="Pagas no prorrateadas"),1280.24*(F334*G334)))</f>
        <v/>
      </c>
      <c r="K334" s="106" t="str">
        <f aca="false">IF(A334="","",IF(J334-I334&gt;=0,"OK",J334-I334))</f>
        <v/>
      </c>
    </row>
    <row r="335" customFormat="false" ht="14.25" hidden="false" customHeight="true" outlineLevel="0" collapsed="false">
      <c r="A335" s="106"/>
      <c r="B335" s="106"/>
      <c r="C335" s="107"/>
      <c r="D335" s="106"/>
      <c r="E335" s="106"/>
      <c r="F335" s="130" t="str">
        <f aca="false">IF(A335="","",MIN(E335/(37.5),1))</f>
        <v/>
      </c>
      <c r="G335" s="108"/>
      <c r="H335" s="106"/>
      <c r="I335" s="107"/>
      <c r="J335" s="131" t="str">
        <f aca="false" t="array" ref="J335:J335">IF(A335="","",ifs(AND(D335=1,H335="Pagas prorrateadas"),2705.41*(F335*G335),AND(D335=1,H335="Pagas no prorrateadas"),2318.93*(F335*G335),AND(D335=2,H335="Pagas prorrateadas"),2246.07*(F335*G335),AND(D335=2,H335="Pagas no prorrateadas"),1925.21*(F335*G335),AND(D335=3,H335="Pagas prorrateadas"),1775.44*(F335*G335),AND(D335=3,H335="Pagas no prorrateadas"),1521.81*(F335*G335),AND(D335=5,H335="Pagas prorrateadas"),1535.9*(F335*G335),AND(D335=5,H335="Pagas no prorrateadas"),1316.49*(F335*G335),AND(D335=7,H335="Pagas prorrateadas"),1493.61*(F335*G335),AND(D335=7,H335="Pagas no prorrateadas"),1280.24*(F335*G335)))</f>
        <v/>
      </c>
      <c r="K335" s="106" t="str">
        <f aca="false">IF(A335="","",IF(J335-I335&gt;=0,"OK",J335-I335))</f>
        <v/>
      </c>
    </row>
    <row r="336" customFormat="false" ht="14.25" hidden="false" customHeight="true" outlineLevel="0" collapsed="false">
      <c r="A336" s="106"/>
      <c r="B336" s="106"/>
      <c r="C336" s="107"/>
      <c r="D336" s="106"/>
      <c r="E336" s="106"/>
      <c r="F336" s="130" t="str">
        <f aca="false">IF(A336="","",MIN(E336/(37.5),1))</f>
        <v/>
      </c>
      <c r="G336" s="108"/>
      <c r="H336" s="106"/>
      <c r="I336" s="107"/>
      <c r="J336" s="131" t="str">
        <f aca="false" t="array" ref="J336:J336">IF(A336="","",ifs(AND(D336=1,H336="Pagas prorrateadas"),2705.41*(F336*G336),AND(D336=1,H336="Pagas no prorrateadas"),2318.93*(F336*G336),AND(D336=2,H336="Pagas prorrateadas"),2246.07*(F336*G336),AND(D336=2,H336="Pagas no prorrateadas"),1925.21*(F336*G336),AND(D336=3,H336="Pagas prorrateadas"),1775.44*(F336*G336),AND(D336=3,H336="Pagas no prorrateadas"),1521.81*(F336*G336),AND(D336=5,H336="Pagas prorrateadas"),1535.9*(F336*G336),AND(D336=5,H336="Pagas no prorrateadas"),1316.49*(F336*G336),AND(D336=7,H336="Pagas prorrateadas"),1493.61*(F336*G336),AND(D336=7,H336="Pagas no prorrateadas"),1280.24*(F336*G336)))</f>
        <v/>
      </c>
      <c r="K336" s="106" t="str">
        <f aca="false">IF(A336="","",IF(J336-I336&gt;=0,"OK",J336-I336))</f>
        <v/>
      </c>
    </row>
    <row r="337" customFormat="false" ht="14.25" hidden="false" customHeight="true" outlineLevel="0" collapsed="false">
      <c r="A337" s="106"/>
      <c r="B337" s="106"/>
      <c r="C337" s="107"/>
      <c r="D337" s="106"/>
      <c r="E337" s="106"/>
      <c r="F337" s="130" t="str">
        <f aca="false">IF(A337="","",MIN(E337/(37.5),1))</f>
        <v/>
      </c>
      <c r="G337" s="108"/>
      <c r="H337" s="106"/>
      <c r="I337" s="107"/>
      <c r="J337" s="131" t="str">
        <f aca="false" t="array" ref="J337:J337">IF(A337="","",ifs(AND(D337=1,H337="Pagas prorrateadas"),2705.41*(F337*G337),AND(D337=1,H337="Pagas no prorrateadas"),2318.93*(F337*G337),AND(D337=2,H337="Pagas prorrateadas"),2246.07*(F337*G337),AND(D337=2,H337="Pagas no prorrateadas"),1925.21*(F337*G337),AND(D337=3,H337="Pagas prorrateadas"),1775.44*(F337*G337),AND(D337=3,H337="Pagas no prorrateadas"),1521.81*(F337*G337),AND(D337=5,H337="Pagas prorrateadas"),1535.9*(F337*G337),AND(D337=5,H337="Pagas no prorrateadas"),1316.49*(F337*G337),AND(D337=7,H337="Pagas prorrateadas"),1493.61*(F337*G337),AND(D337=7,H337="Pagas no prorrateadas"),1280.24*(F337*G337)))</f>
        <v/>
      </c>
      <c r="K337" s="106" t="str">
        <f aca="false">IF(A337="","",IF(J337-I337&gt;=0,"OK",J337-I337))</f>
        <v/>
      </c>
    </row>
    <row r="338" customFormat="false" ht="14.25" hidden="false" customHeight="true" outlineLevel="0" collapsed="false">
      <c r="A338" s="106"/>
      <c r="B338" s="106"/>
      <c r="C338" s="107"/>
      <c r="D338" s="106"/>
      <c r="E338" s="106"/>
      <c r="F338" s="130" t="str">
        <f aca="false">IF(A338="","",MIN(E338/(37.5),1))</f>
        <v/>
      </c>
      <c r="G338" s="108"/>
      <c r="H338" s="106"/>
      <c r="I338" s="107"/>
      <c r="J338" s="131" t="str">
        <f aca="false" t="array" ref="J338:J338">IF(A338="","",ifs(AND(D338=1,H338="Pagas prorrateadas"),2705.41*(F338*G338),AND(D338=1,H338="Pagas no prorrateadas"),2318.93*(F338*G338),AND(D338=2,H338="Pagas prorrateadas"),2246.07*(F338*G338),AND(D338=2,H338="Pagas no prorrateadas"),1925.21*(F338*G338),AND(D338=3,H338="Pagas prorrateadas"),1775.44*(F338*G338),AND(D338=3,H338="Pagas no prorrateadas"),1521.81*(F338*G338),AND(D338=5,H338="Pagas prorrateadas"),1535.9*(F338*G338),AND(D338=5,H338="Pagas no prorrateadas"),1316.49*(F338*G338),AND(D338=7,H338="Pagas prorrateadas"),1493.61*(F338*G338),AND(D338=7,H338="Pagas no prorrateadas"),1280.24*(F338*G338)))</f>
        <v/>
      </c>
      <c r="K338" s="106" t="str">
        <f aca="false">IF(A338="","",IF(J338-I338&gt;=0,"OK",J338-I338))</f>
        <v/>
      </c>
    </row>
    <row r="339" customFormat="false" ht="14.25" hidden="false" customHeight="true" outlineLevel="0" collapsed="false">
      <c r="A339" s="106"/>
      <c r="B339" s="106"/>
      <c r="C339" s="107"/>
      <c r="D339" s="106"/>
      <c r="E339" s="106"/>
      <c r="F339" s="130" t="str">
        <f aca="false">IF(A339="","",MIN(E339/(37.5),1))</f>
        <v/>
      </c>
      <c r="G339" s="108"/>
      <c r="H339" s="106"/>
      <c r="I339" s="107"/>
      <c r="J339" s="131" t="str">
        <f aca="false" t="array" ref="J339:J339">IF(A339="","",ifs(AND(D339=1,H339="Pagas prorrateadas"),2705.41*(F339*G339),AND(D339=1,H339="Pagas no prorrateadas"),2318.93*(F339*G339),AND(D339=2,H339="Pagas prorrateadas"),2246.07*(F339*G339),AND(D339=2,H339="Pagas no prorrateadas"),1925.21*(F339*G339),AND(D339=3,H339="Pagas prorrateadas"),1775.44*(F339*G339),AND(D339=3,H339="Pagas no prorrateadas"),1521.81*(F339*G339),AND(D339=5,H339="Pagas prorrateadas"),1535.9*(F339*G339),AND(D339=5,H339="Pagas no prorrateadas"),1316.49*(F339*G339),AND(D339=7,H339="Pagas prorrateadas"),1493.61*(F339*G339),AND(D339=7,H339="Pagas no prorrateadas"),1280.24*(F339*G339)))</f>
        <v/>
      </c>
      <c r="K339" s="106" t="str">
        <f aca="false">IF(A339="","",IF(J339-I339&gt;=0,"OK",J339-I339))</f>
        <v/>
      </c>
    </row>
    <row r="340" customFormat="false" ht="14.25" hidden="false" customHeight="true" outlineLevel="0" collapsed="false">
      <c r="A340" s="106"/>
      <c r="B340" s="106"/>
      <c r="C340" s="107"/>
      <c r="D340" s="106"/>
      <c r="E340" s="106"/>
      <c r="F340" s="130" t="str">
        <f aca="false">IF(A340="","",MIN(E340/(37.5),1))</f>
        <v/>
      </c>
      <c r="G340" s="108"/>
      <c r="H340" s="106"/>
      <c r="I340" s="107"/>
      <c r="J340" s="131" t="str">
        <f aca="false" t="array" ref="J340:J340">IF(A340="","",ifs(AND(D340=1,H340="Pagas prorrateadas"),2705.41*(F340*G340),AND(D340=1,H340="Pagas no prorrateadas"),2318.93*(F340*G340),AND(D340=2,H340="Pagas prorrateadas"),2246.07*(F340*G340),AND(D340=2,H340="Pagas no prorrateadas"),1925.21*(F340*G340),AND(D340=3,H340="Pagas prorrateadas"),1775.44*(F340*G340),AND(D340=3,H340="Pagas no prorrateadas"),1521.81*(F340*G340),AND(D340=5,H340="Pagas prorrateadas"),1535.9*(F340*G340),AND(D340=5,H340="Pagas no prorrateadas"),1316.49*(F340*G340),AND(D340=7,H340="Pagas prorrateadas"),1493.61*(F340*G340),AND(D340=7,H340="Pagas no prorrateadas"),1280.24*(F340*G340)))</f>
        <v/>
      </c>
      <c r="K340" s="106" t="str">
        <f aca="false">IF(A340="","",IF(J340-I340&gt;=0,"OK",J340-I340))</f>
        <v/>
      </c>
    </row>
    <row r="341" customFormat="false" ht="14.25" hidden="false" customHeight="true" outlineLevel="0" collapsed="false">
      <c r="A341" s="106"/>
      <c r="B341" s="106"/>
      <c r="C341" s="107"/>
      <c r="D341" s="106"/>
      <c r="E341" s="106"/>
      <c r="F341" s="130" t="str">
        <f aca="false">IF(A341="","",MIN(E341/(37.5),1))</f>
        <v/>
      </c>
      <c r="G341" s="108"/>
      <c r="H341" s="106"/>
      <c r="I341" s="107"/>
      <c r="J341" s="131" t="str">
        <f aca="false" t="array" ref="J341:J341">IF(A341="","",ifs(AND(D341=1,H341="Pagas prorrateadas"),2705.41*(F341*G341),AND(D341=1,H341="Pagas no prorrateadas"),2318.93*(F341*G341),AND(D341=2,H341="Pagas prorrateadas"),2246.07*(F341*G341),AND(D341=2,H341="Pagas no prorrateadas"),1925.21*(F341*G341),AND(D341=3,H341="Pagas prorrateadas"),1775.44*(F341*G341),AND(D341=3,H341="Pagas no prorrateadas"),1521.81*(F341*G341),AND(D341=5,H341="Pagas prorrateadas"),1535.9*(F341*G341),AND(D341=5,H341="Pagas no prorrateadas"),1316.49*(F341*G341),AND(D341=7,H341="Pagas prorrateadas"),1493.61*(F341*G341),AND(D341=7,H341="Pagas no prorrateadas"),1280.24*(F341*G341)))</f>
        <v/>
      </c>
      <c r="K341" s="106" t="str">
        <f aca="false">IF(A341="","",IF(J341-I341&gt;=0,"OK",J341-I341))</f>
        <v/>
      </c>
    </row>
    <row r="342" customFormat="false" ht="14.25" hidden="false" customHeight="true" outlineLevel="0" collapsed="false">
      <c r="A342" s="106"/>
      <c r="B342" s="106"/>
      <c r="C342" s="107"/>
      <c r="D342" s="106"/>
      <c r="E342" s="106"/>
      <c r="F342" s="130" t="str">
        <f aca="false">IF(A342="","",MIN(E342/(37.5),1))</f>
        <v/>
      </c>
      <c r="G342" s="108"/>
      <c r="H342" s="106"/>
      <c r="I342" s="107"/>
      <c r="J342" s="131" t="str">
        <f aca="false" t="array" ref="J342:J342">IF(A342="","",ifs(AND(D342=1,H342="Pagas prorrateadas"),2705.41*(F342*G342),AND(D342=1,H342="Pagas no prorrateadas"),2318.93*(F342*G342),AND(D342=2,H342="Pagas prorrateadas"),2246.07*(F342*G342),AND(D342=2,H342="Pagas no prorrateadas"),1925.21*(F342*G342),AND(D342=3,H342="Pagas prorrateadas"),1775.44*(F342*G342),AND(D342=3,H342="Pagas no prorrateadas"),1521.81*(F342*G342),AND(D342=5,H342="Pagas prorrateadas"),1535.9*(F342*G342),AND(D342=5,H342="Pagas no prorrateadas"),1316.49*(F342*G342),AND(D342=7,H342="Pagas prorrateadas"),1493.61*(F342*G342),AND(D342=7,H342="Pagas no prorrateadas"),1280.24*(F342*G342)))</f>
        <v/>
      </c>
      <c r="K342" s="106" t="str">
        <f aca="false">IF(A342="","",IF(J342-I342&gt;=0,"OK",J342-I342))</f>
        <v/>
      </c>
    </row>
    <row r="343" customFormat="false" ht="14.25" hidden="false" customHeight="true" outlineLevel="0" collapsed="false">
      <c r="A343" s="106"/>
      <c r="B343" s="106"/>
      <c r="C343" s="107"/>
      <c r="D343" s="106"/>
      <c r="E343" s="106"/>
      <c r="F343" s="130" t="str">
        <f aca="false">IF(A343="","",MIN(E343/(37.5),1))</f>
        <v/>
      </c>
      <c r="G343" s="108"/>
      <c r="H343" s="106"/>
      <c r="I343" s="107"/>
      <c r="J343" s="131" t="str">
        <f aca="false" t="array" ref="J343:J343">IF(A343="","",ifs(AND(D343=1,H343="Pagas prorrateadas"),2705.41*(F343*G343),AND(D343=1,H343="Pagas no prorrateadas"),2318.93*(F343*G343),AND(D343=2,H343="Pagas prorrateadas"),2246.07*(F343*G343),AND(D343=2,H343="Pagas no prorrateadas"),1925.21*(F343*G343),AND(D343=3,H343="Pagas prorrateadas"),1775.44*(F343*G343),AND(D343=3,H343="Pagas no prorrateadas"),1521.81*(F343*G343),AND(D343=5,H343="Pagas prorrateadas"),1535.9*(F343*G343),AND(D343=5,H343="Pagas no prorrateadas"),1316.49*(F343*G343),AND(D343=7,H343="Pagas prorrateadas"),1493.61*(F343*G343),AND(D343=7,H343="Pagas no prorrateadas"),1280.24*(F343*G343)))</f>
        <v/>
      </c>
      <c r="K343" s="106" t="str">
        <f aca="false">IF(A343="","",IF(J343-I343&gt;=0,"OK",J343-I343))</f>
        <v/>
      </c>
    </row>
    <row r="344" customFormat="false" ht="14.25" hidden="false" customHeight="true" outlineLevel="0" collapsed="false">
      <c r="A344" s="106"/>
      <c r="B344" s="106"/>
      <c r="C344" s="107"/>
      <c r="D344" s="106"/>
      <c r="E344" s="106"/>
      <c r="F344" s="130" t="str">
        <f aca="false">IF(A344="","",MIN(E344/(37.5),1))</f>
        <v/>
      </c>
      <c r="G344" s="108"/>
      <c r="H344" s="106"/>
      <c r="I344" s="107"/>
      <c r="J344" s="131" t="str">
        <f aca="false" t="array" ref="J344:J344">IF(A344="","",ifs(AND(D344=1,H344="Pagas prorrateadas"),2705.41*(F344*G344),AND(D344=1,H344="Pagas no prorrateadas"),2318.93*(F344*G344),AND(D344=2,H344="Pagas prorrateadas"),2246.07*(F344*G344),AND(D344=2,H344="Pagas no prorrateadas"),1925.21*(F344*G344),AND(D344=3,H344="Pagas prorrateadas"),1775.44*(F344*G344),AND(D344=3,H344="Pagas no prorrateadas"),1521.81*(F344*G344),AND(D344=5,H344="Pagas prorrateadas"),1535.9*(F344*G344),AND(D344=5,H344="Pagas no prorrateadas"),1316.49*(F344*G344),AND(D344=7,H344="Pagas prorrateadas"),1493.61*(F344*G344),AND(D344=7,H344="Pagas no prorrateadas"),1280.24*(F344*G344)))</f>
        <v/>
      </c>
      <c r="K344" s="106" t="str">
        <f aca="false">IF(A344="","",IF(J344-I344&gt;=0,"OK",J344-I344))</f>
        <v/>
      </c>
    </row>
    <row r="345" customFormat="false" ht="14.25" hidden="false" customHeight="true" outlineLevel="0" collapsed="false">
      <c r="A345" s="106"/>
      <c r="B345" s="106"/>
      <c r="C345" s="107"/>
      <c r="D345" s="106"/>
      <c r="E345" s="106"/>
      <c r="F345" s="130" t="str">
        <f aca="false">IF(A345="","",MIN(E345/(37.5),1))</f>
        <v/>
      </c>
      <c r="G345" s="108"/>
      <c r="H345" s="106"/>
      <c r="I345" s="107"/>
      <c r="J345" s="131" t="str">
        <f aca="false" t="array" ref="J345:J345">IF(A345="","",ifs(AND(D345=1,H345="Pagas prorrateadas"),2705.41*(F345*G345),AND(D345=1,H345="Pagas no prorrateadas"),2318.93*(F345*G345),AND(D345=2,H345="Pagas prorrateadas"),2246.07*(F345*G345),AND(D345=2,H345="Pagas no prorrateadas"),1925.21*(F345*G345),AND(D345=3,H345="Pagas prorrateadas"),1775.44*(F345*G345),AND(D345=3,H345="Pagas no prorrateadas"),1521.81*(F345*G345),AND(D345=5,H345="Pagas prorrateadas"),1535.9*(F345*G345),AND(D345=5,H345="Pagas no prorrateadas"),1316.49*(F345*G345),AND(D345=7,H345="Pagas prorrateadas"),1493.61*(F345*G345),AND(D345=7,H345="Pagas no prorrateadas"),1280.24*(F345*G345)))</f>
        <v/>
      </c>
      <c r="K345" s="106" t="str">
        <f aca="false">IF(A345="","",IF(J345-I345&gt;=0,"OK",J345-I345))</f>
        <v/>
      </c>
    </row>
    <row r="346" customFormat="false" ht="14.25" hidden="false" customHeight="true" outlineLevel="0" collapsed="false">
      <c r="A346" s="106"/>
      <c r="B346" s="106"/>
      <c r="C346" s="107"/>
      <c r="D346" s="106"/>
      <c r="E346" s="106"/>
      <c r="F346" s="130" t="str">
        <f aca="false">IF(A346="","",MIN(E346/(37.5),1))</f>
        <v/>
      </c>
      <c r="G346" s="108"/>
      <c r="H346" s="106"/>
      <c r="I346" s="107"/>
      <c r="J346" s="131" t="str">
        <f aca="false" t="array" ref="J346:J346">IF(A346="","",ifs(AND(D346=1,H346="Pagas prorrateadas"),2705.41*(F346*G346),AND(D346=1,H346="Pagas no prorrateadas"),2318.93*(F346*G346),AND(D346=2,H346="Pagas prorrateadas"),2246.07*(F346*G346),AND(D346=2,H346="Pagas no prorrateadas"),1925.21*(F346*G346),AND(D346=3,H346="Pagas prorrateadas"),1775.44*(F346*G346),AND(D346=3,H346="Pagas no prorrateadas"),1521.81*(F346*G346),AND(D346=5,H346="Pagas prorrateadas"),1535.9*(F346*G346),AND(D346=5,H346="Pagas no prorrateadas"),1316.49*(F346*G346),AND(D346=7,H346="Pagas prorrateadas"),1493.61*(F346*G346),AND(D346=7,H346="Pagas no prorrateadas"),1280.24*(F346*G346)))</f>
        <v/>
      </c>
      <c r="K346" s="106" t="str">
        <f aca="false">IF(A346="","",IF(J346-I346&gt;=0,"OK",J346-I346))</f>
        <v/>
      </c>
    </row>
    <row r="347" customFormat="false" ht="14.25" hidden="false" customHeight="true" outlineLevel="0" collapsed="false">
      <c r="A347" s="106"/>
      <c r="B347" s="106"/>
      <c r="C347" s="107"/>
      <c r="D347" s="106"/>
      <c r="E347" s="106"/>
      <c r="F347" s="130" t="str">
        <f aca="false">IF(A347="","",MIN(E347/(37.5),1))</f>
        <v/>
      </c>
      <c r="G347" s="108"/>
      <c r="H347" s="106"/>
      <c r="I347" s="107"/>
      <c r="J347" s="131" t="str">
        <f aca="false" t="array" ref="J347:J347">IF(A347="","",ifs(AND(D347=1,H347="Pagas prorrateadas"),2705.41*(F347*G347),AND(D347=1,H347="Pagas no prorrateadas"),2318.93*(F347*G347),AND(D347=2,H347="Pagas prorrateadas"),2246.07*(F347*G347),AND(D347=2,H347="Pagas no prorrateadas"),1925.21*(F347*G347),AND(D347=3,H347="Pagas prorrateadas"),1775.44*(F347*G347),AND(D347=3,H347="Pagas no prorrateadas"),1521.81*(F347*G347),AND(D347=5,H347="Pagas prorrateadas"),1535.9*(F347*G347),AND(D347=5,H347="Pagas no prorrateadas"),1316.49*(F347*G347),AND(D347=7,H347="Pagas prorrateadas"),1493.61*(F347*G347),AND(D347=7,H347="Pagas no prorrateadas"),1280.24*(F347*G347)))</f>
        <v/>
      </c>
      <c r="K347" s="106" t="str">
        <f aca="false">IF(A347="","",IF(J347-I347&gt;=0,"OK",J347-I347))</f>
        <v/>
      </c>
    </row>
    <row r="348" customFormat="false" ht="14.25" hidden="false" customHeight="true" outlineLevel="0" collapsed="false">
      <c r="A348" s="106"/>
      <c r="B348" s="106"/>
      <c r="C348" s="107"/>
      <c r="D348" s="106"/>
      <c r="E348" s="106"/>
      <c r="F348" s="130" t="str">
        <f aca="false">IF(A348="","",MIN(E348/(37.5),1))</f>
        <v/>
      </c>
      <c r="G348" s="108"/>
      <c r="H348" s="106"/>
      <c r="I348" s="107"/>
      <c r="J348" s="131" t="str">
        <f aca="false" t="array" ref="J348:J348">IF(A348="","",ifs(AND(D348=1,H348="Pagas prorrateadas"),2705.41*(F348*G348),AND(D348=1,H348="Pagas no prorrateadas"),2318.93*(F348*G348),AND(D348=2,H348="Pagas prorrateadas"),2246.07*(F348*G348),AND(D348=2,H348="Pagas no prorrateadas"),1925.21*(F348*G348),AND(D348=3,H348="Pagas prorrateadas"),1775.44*(F348*G348),AND(D348=3,H348="Pagas no prorrateadas"),1521.81*(F348*G348),AND(D348=5,H348="Pagas prorrateadas"),1535.9*(F348*G348),AND(D348=5,H348="Pagas no prorrateadas"),1316.49*(F348*G348),AND(D348=7,H348="Pagas prorrateadas"),1493.61*(F348*G348),AND(D348=7,H348="Pagas no prorrateadas"),1280.24*(F348*G348)))</f>
        <v/>
      </c>
      <c r="K348" s="106" t="str">
        <f aca="false">IF(A348="","",IF(J348-I348&gt;=0,"OK",J348-I348))</f>
        <v/>
      </c>
    </row>
    <row r="349" customFormat="false" ht="14.25" hidden="false" customHeight="true" outlineLevel="0" collapsed="false">
      <c r="A349" s="106"/>
      <c r="B349" s="106"/>
      <c r="C349" s="107"/>
      <c r="D349" s="106"/>
      <c r="E349" s="106"/>
      <c r="F349" s="130" t="str">
        <f aca="false">IF(A349="","",MIN(E349/(37.5),1))</f>
        <v/>
      </c>
      <c r="G349" s="108"/>
      <c r="H349" s="106"/>
      <c r="I349" s="107"/>
      <c r="J349" s="131" t="str">
        <f aca="false" t="array" ref="J349:J349">IF(A349="","",ifs(AND(D349=1,H349="Pagas prorrateadas"),2705.41*(F349*G349),AND(D349=1,H349="Pagas no prorrateadas"),2318.93*(F349*G349),AND(D349=2,H349="Pagas prorrateadas"),2246.07*(F349*G349),AND(D349=2,H349="Pagas no prorrateadas"),1925.21*(F349*G349),AND(D349=3,H349="Pagas prorrateadas"),1775.44*(F349*G349),AND(D349=3,H349="Pagas no prorrateadas"),1521.81*(F349*G349),AND(D349=5,H349="Pagas prorrateadas"),1535.9*(F349*G349),AND(D349=5,H349="Pagas no prorrateadas"),1316.49*(F349*G349),AND(D349=7,H349="Pagas prorrateadas"),1493.61*(F349*G349),AND(D349=7,H349="Pagas no prorrateadas"),1280.24*(F349*G349)))</f>
        <v/>
      </c>
      <c r="K349" s="106" t="str">
        <f aca="false">IF(A349="","",IF(J349-I349&gt;=0,"OK",J349-I349))</f>
        <v/>
      </c>
    </row>
    <row r="350" customFormat="false" ht="14.25" hidden="false" customHeight="true" outlineLevel="0" collapsed="false">
      <c r="A350" s="106"/>
      <c r="B350" s="106"/>
      <c r="C350" s="107"/>
      <c r="D350" s="106"/>
      <c r="E350" s="106"/>
      <c r="F350" s="130" t="str">
        <f aca="false">IF(A350="","",MIN(E350/(37.5),1))</f>
        <v/>
      </c>
      <c r="G350" s="108"/>
      <c r="H350" s="106"/>
      <c r="I350" s="107"/>
      <c r="J350" s="131" t="str">
        <f aca="false" t="array" ref="J350:J350">IF(A350="","",ifs(AND(D350=1,H350="Pagas prorrateadas"),2705.41*(F350*G350),AND(D350=1,H350="Pagas no prorrateadas"),2318.93*(F350*G350),AND(D350=2,H350="Pagas prorrateadas"),2246.07*(F350*G350),AND(D350=2,H350="Pagas no prorrateadas"),1925.21*(F350*G350),AND(D350=3,H350="Pagas prorrateadas"),1775.44*(F350*G350),AND(D350=3,H350="Pagas no prorrateadas"),1521.81*(F350*G350),AND(D350=5,H350="Pagas prorrateadas"),1535.9*(F350*G350),AND(D350=5,H350="Pagas no prorrateadas"),1316.49*(F350*G350),AND(D350=7,H350="Pagas prorrateadas"),1493.61*(F350*G350),AND(D350=7,H350="Pagas no prorrateadas"),1280.24*(F350*G350)))</f>
        <v/>
      </c>
      <c r="K350" s="106" t="str">
        <f aca="false">IF(A350="","",IF(J350-I350&gt;=0,"OK",J350-I350))</f>
        <v/>
      </c>
    </row>
    <row r="351" customFormat="false" ht="14.25" hidden="false" customHeight="true" outlineLevel="0" collapsed="false">
      <c r="A351" s="106"/>
      <c r="B351" s="106"/>
      <c r="C351" s="107"/>
      <c r="D351" s="106"/>
      <c r="E351" s="106"/>
      <c r="F351" s="130" t="str">
        <f aca="false">IF(A351="","",MIN(E351/(37.5),1))</f>
        <v/>
      </c>
      <c r="G351" s="108"/>
      <c r="H351" s="106"/>
      <c r="I351" s="107"/>
      <c r="J351" s="131" t="str">
        <f aca="false" t="array" ref="J351:J351">IF(A351="","",ifs(AND(D351=1,H351="Pagas prorrateadas"),2705.41*(F351*G351),AND(D351=1,H351="Pagas no prorrateadas"),2318.93*(F351*G351),AND(D351=2,H351="Pagas prorrateadas"),2246.07*(F351*G351),AND(D351=2,H351="Pagas no prorrateadas"),1925.21*(F351*G351),AND(D351=3,H351="Pagas prorrateadas"),1775.44*(F351*G351),AND(D351=3,H351="Pagas no prorrateadas"),1521.81*(F351*G351),AND(D351=5,H351="Pagas prorrateadas"),1535.9*(F351*G351),AND(D351=5,H351="Pagas no prorrateadas"),1316.49*(F351*G351),AND(D351=7,H351="Pagas prorrateadas"),1493.61*(F351*G351),AND(D351=7,H351="Pagas no prorrateadas"),1280.24*(F351*G351)))</f>
        <v/>
      </c>
      <c r="K351" s="106" t="str">
        <f aca="false">IF(A351="","",IF(J351-I351&gt;=0,"OK",J351-I351))</f>
        <v/>
      </c>
    </row>
    <row r="352" customFormat="false" ht="14.25" hidden="false" customHeight="true" outlineLevel="0" collapsed="false">
      <c r="A352" s="106"/>
      <c r="B352" s="106"/>
      <c r="C352" s="107"/>
      <c r="D352" s="106"/>
      <c r="E352" s="106"/>
      <c r="F352" s="130" t="str">
        <f aca="false">IF(A352="","",MIN(E352/(37.5),1))</f>
        <v/>
      </c>
      <c r="G352" s="108"/>
      <c r="H352" s="106"/>
      <c r="I352" s="107"/>
      <c r="J352" s="131" t="str">
        <f aca="false" t="array" ref="J352:J352">IF(A352="","",ifs(AND(D352=1,H352="Pagas prorrateadas"),2705.41*(F352*G352),AND(D352=1,H352="Pagas no prorrateadas"),2318.93*(F352*G352),AND(D352=2,H352="Pagas prorrateadas"),2246.07*(F352*G352),AND(D352=2,H352="Pagas no prorrateadas"),1925.21*(F352*G352),AND(D352=3,H352="Pagas prorrateadas"),1775.44*(F352*G352),AND(D352=3,H352="Pagas no prorrateadas"),1521.81*(F352*G352),AND(D352=5,H352="Pagas prorrateadas"),1535.9*(F352*G352),AND(D352=5,H352="Pagas no prorrateadas"),1316.49*(F352*G352),AND(D352=7,H352="Pagas prorrateadas"),1493.61*(F352*G352),AND(D352=7,H352="Pagas no prorrateadas"),1280.24*(F352*G352)))</f>
        <v/>
      </c>
      <c r="K352" s="106" t="str">
        <f aca="false">IF(A352="","",IF(J352-I352&gt;=0,"OK",J352-I352))</f>
        <v/>
      </c>
    </row>
    <row r="353" customFormat="false" ht="14.25" hidden="false" customHeight="true" outlineLevel="0" collapsed="false">
      <c r="A353" s="106"/>
      <c r="B353" s="106"/>
      <c r="C353" s="107"/>
      <c r="D353" s="106"/>
      <c r="E353" s="106"/>
      <c r="F353" s="130" t="str">
        <f aca="false">IF(A353="","",MIN(E353/(37.5),1))</f>
        <v/>
      </c>
      <c r="G353" s="108"/>
      <c r="H353" s="106"/>
      <c r="I353" s="107"/>
      <c r="J353" s="131" t="str">
        <f aca="false" t="array" ref="J353:J353">IF(A353="","",ifs(AND(D353=1,H353="Pagas prorrateadas"),2705.41*(F353*G353),AND(D353=1,H353="Pagas no prorrateadas"),2318.93*(F353*G353),AND(D353=2,H353="Pagas prorrateadas"),2246.07*(F353*G353),AND(D353=2,H353="Pagas no prorrateadas"),1925.21*(F353*G353),AND(D353=3,H353="Pagas prorrateadas"),1775.44*(F353*G353),AND(D353=3,H353="Pagas no prorrateadas"),1521.81*(F353*G353),AND(D353=5,H353="Pagas prorrateadas"),1535.9*(F353*G353),AND(D353=5,H353="Pagas no prorrateadas"),1316.49*(F353*G353),AND(D353=7,H353="Pagas prorrateadas"),1493.61*(F353*G353),AND(D353=7,H353="Pagas no prorrateadas"),1280.24*(F353*G353)))</f>
        <v/>
      </c>
      <c r="K353" s="106" t="str">
        <f aca="false">IF(A353="","",IF(J353-I353&gt;=0,"OK",J353-I353))</f>
        <v/>
      </c>
    </row>
    <row r="354" customFormat="false" ht="14.25" hidden="false" customHeight="true" outlineLevel="0" collapsed="false">
      <c r="A354" s="106"/>
      <c r="B354" s="106"/>
      <c r="C354" s="107"/>
      <c r="D354" s="106"/>
      <c r="E354" s="106"/>
      <c r="F354" s="130" t="str">
        <f aca="false">IF(A354="","",MIN(E354/(37.5),1))</f>
        <v/>
      </c>
      <c r="G354" s="108"/>
      <c r="H354" s="106"/>
      <c r="I354" s="107"/>
      <c r="J354" s="131" t="str">
        <f aca="false" t="array" ref="J354:J354">IF(A354="","",ifs(AND(D354=1,H354="Pagas prorrateadas"),2705.41*(F354*G354),AND(D354=1,H354="Pagas no prorrateadas"),2318.93*(F354*G354),AND(D354=2,H354="Pagas prorrateadas"),2246.07*(F354*G354),AND(D354=2,H354="Pagas no prorrateadas"),1925.21*(F354*G354),AND(D354=3,H354="Pagas prorrateadas"),1775.44*(F354*G354),AND(D354=3,H354="Pagas no prorrateadas"),1521.81*(F354*G354),AND(D354=5,H354="Pagas prorrateadas"),1535.9*(F354*G354),AND(D354=5,H354="Pagas no prorrateadas"),1316.49*(F354*G354),AND(D354=7,H354="Pagas prorrateadas"),1493.61*(F354*G354),AND(D354=7,H354="Pagas no prorrateadas"),1280.24*(F354*G354)))</f>
        <v/>
      </c>
      <c r="K354" s="106" t="str">
        <f aca="false">IF(A354="","",IF(J354-I354&gt;=0,"OK",J354-I354))</f>
        <v/>
      </c>
    </row>
    <row r="355" customFormat="false" ht="14.25" hidden="false" customHeight="true" outlineLevel="0" collapsed="false">
      <c r="A355" s="106"/>
      <c r="B355" s="106"/>
      <c r="C355" s="107"/>
      <c r="D355" s="106"/>
      <c r="E355" s="106"/>
      <c r="F355" s="130" t="str">
        <f aca="false">IF(A355="","",MIN(E355/(37.5),1))</f>
        <v/>
      </c>
      <c r="G355" s="108"/>
      <c r="H355" s="106"/>
      <c r="I355" s="107"/>
      <c r="J355" s="131" t="str">
        <f aca="false" t="array" ref="J355:J355">IF(A355="","",ifs(AND(D355=1,H355="Pagas prorrateadas"),2705.41*(F355*G355),AND(D355=1,H355="Pagas no prorrateadas"),2318.93*(F355*G355),AND(D355=2,H355="Pagas prorrateadas"),2246.07*(F355*G355),AND(D355=2,H355="Pagas no prorrateadas"),1925.21*(F355*G355),AND(D355=3,H355="Pagas prorrateadas"),1775.44*(F355*G355),AND(D355=3,H355="Pagas no prorrateadas"),1521.81*(F355*G355),AND(D355=5,H355="Pagas prorrateadas"),1535.9*(F355*G355),AND(D355=5,H355="Pagas no prorrateadas"),1316.49*(F355*G355),AND(D355=7,H355="Pagas prorrateadas"),1493.61*(F355*G355),AND(D355=7,H355="Pagas no prorrateadas"),1280.24*(F355*G355)))</f>
        <v/>
      </c>
      <c r="K355" s="106" t="str">
        <f aca="false">IF(A355="","",IF(J355-I355&gt;=0,"OK",J355-I355))</f>
        <v/>
      </c>
    </row>
    <row r="356" customFormat="false" ht="14.25" hidden="false" customHeight="true" outlineLevel="0" collapsed="false">
      <c r="A356" s="106"/>
      <c r="B356" s="106"/>
      <c r="C356" s="107"/>
      <c r="D356" s="106"/>
      <c r="E356" s="106"/>
      <c r="F356" s="130" t="str">
        <f aca="false">IF(A356="","",MIN(E356/(37.5),1))</f>
        <v/>
      </c>
      <c r="G356" s="108"/>
      <c r="H356" s="106"/>
      <c r="I356" s="107"/>
      <c r="J356" s="131" t="str">
        <f aca="false" t="array" ref="J356:J356">IF(A356="","",ifs(AND(D356=1,H356="Pagas prorrateadas"),2705.41*(F356*G356),AND(D356=1,H356="Pagas no prorrateadas"),2318.93*(F356*G356),AND(D356=2,H356="Pagas prorrateadas"),2246.07*(F356*G356),AND(D356=2,H356="Pagas no prorrateadas"),1925.21*(F356*G356),AND(D356=3,H356="Pagas prorrateadas"),1775.44*(F356*G356),AND(D356=3,H356="Pagas no prorrateadas"),1521.81*(F356*G356),AND(D356=5,H356="Pagas prorrateadas"),1535.9*(F356*G356),AND(D356=5,H356="Pagas no prorrateadas"),1316.49*(F356*G356),AND(D356=7,H356="Pagas prorrateadas"),1493.61*(F356*G356),AND(D356=7,H356="Pagas no prorrateadas"),1280.24*(F356*G356)))</f>
        <v/>
      </c>
      <c r="K356" s="106" t="str">
        <f aca="false">IF(A356="","",IF(J356-I356&gt;=0,"OK",J356-I356))</f>
        <v/>
      </c>
    </row>
    <row r="357" customFormat="false" ht="14.25" hidden="false" customHeight="true" outlineLevel="0" collapsed="false">
      <c r="A357" s="106"/>
      <c r="B357" s="106"/>
      <c r="C357" s="107"/>
      <c r="D357" s="106"/>
      <c r="E357" s="106"/>
      <c r="F357" s="130" t="str">
        <f aca="false">IF(A357="","",MIN(E357/(37.5),1))</f>
        <v/>
      </c>
      <c r="G357" s="108"/>
      <c r="H357" s="106"/>
      <c r="I357" s="107"/>
      <c r="J357" s="131" t="str">
        <f aca="false" t="array" ref="J357:J357">IF(A357="","",ifs(AND(D357=1,H357="Pagas prorrateadas"),2705.41*(F357*G357),AND(D357=1,H357="Pagas no prorrateadas"),2318.93*(F357*G357),AND(D357=2,H357="Pagas prorrateadas"),2246.07*(F357*G357),AND(D357=2,H357="Pagas no prorrateadas"),1925.21*(F357*G357),AND(D357=3,H357="Pagas prorrateadas"),1775.44*(F357*G357),AND(D357=3,H357="Pagas no prorrateadas"),1521.81*(F357*G357),AND(D357=5,H357="Pagas prorrateadas"),1535.9*(F357*G357),AND(D357=5,H357="Pagas no prorrateadas"),1316.49*(F357*G357),AND(D357=7,H357="Pagas prorrateadas"),1493.61*(F357*G357),AND(D357=7,H357="Pagas no prorrateadas"),1280.24*(F357*G357)))</f>
        <v/>
      </c>
      <c r="K357" s="106" t="str">
        <f aca="false">IF(A357="","",IF(J357-I357&gt;=0,"OK",J357-I357))</f>
        <v/>
      </c>
    </row>
    <row r="358" customFormat="false" ht="14.25" hidden="false" customHeight="true" outlineLevel="0" collapsed="false">
      <c r="A358" s="106"/>
      <c r="B358" s="106"/>
      <c r="C358" s="107"/>
      <c r="D358" s="106"/>
      <c r="E358" s="106"/>
      <c r="F358" s="130" t="str">
        <f aca="false">IF(A358="","",MIN(E358/(37.5),1))</f>
        <v/>
      </c>
      <c r="G358" s="108"/>
      <c r="H358" s="106"/>
      <c r="I358" s="107"/>
      <c r="J358" s="131" t="str">
        <f aca="false" t="array" ref="J358:J358">IF(A358="","",ifs(AND(D358=1,H358="Pagas prorrateadas"),2705.41*(F358*G358),AND(D358=1,H358="Pagas no prorrateadas"),2318.93*(F358*G358),AND(D358=2,H358="Pagas prorrateadas"),2246.07*(F358*G358),AND(D358=2,H358="Pagas no prorrateadas"),1925.21*(F358*G358),AND(D358=3,H358="Pagas prorrateadas"),1775.44*(F358*G358),AND(D358=3,H358="Pagas no prorrateadas"),1521.81*(F358*G358),AND(D358=5,H358="Pagas prorrateadas"),1535.9*(F358*G358),AND(D358=5,H358="Pagas no prorrateadas"),1316.49*(F358*G358),AND(D358=7,H358="Pagas prorrateadas"),1493.61*(F358*G358),AND(D358=7,H358="Pagas no prorrateadas"),1280.24*(F358*G358)))</f>
        <v/>
      </c>
      <c r="K358" s="106" t="str">
        <f aca="false">IF(A358="","",IF(J358-I358&gt;=0,"OK",J358-I358))</f>
        <v/>
      </c>
    </row>
    <row r="359" customFormat="false" ht="14.25" hidden="false" customHeight="true" outlineLevel="0" collapsed="false">
      <c r="A359" s="106"/>
      <c r="B359" s="106"/>
      <c r="C359" s="107"/>
      <c r="D359" s="106"/>
      <c r="E359" s="106"/>
      <c r="F359" s="130" t="str">
        <f aca="false">IF(A359="","",MIN(E359/(37.5),1))</f>
        <v/>
      </c>
      <c r="G359" s="108"/>
      <c r="H359" s="106"/>
      <c r="I359" s="107"/>
      <c r="J359" s="131" t="str">
        <f aca="false" t="array" ref="J359:J359">IF(A359="","",ifs(AND(D359=1,H359="Pagas prorrateadas"),2705.41*(F359*G359),AND(D359=1,H359="Pagas no prorrateadas"),2318.93*(F359*G359),AND(D359=2,H359="Pagas prorrateadas"),2246.07*(F359*G359),AND(D359=2,H359="Pagas no prorrateadas"),1925.21*(F359*G359),AND(D359=3,H359="Pagas prorrateadas"),1775.44*(F359*G359),AND(D359=3,H359="Pagas no prorrateadas"),1521.81*(F359*G359),AND(D359=5,H359="Pagas prorrateadas"),1535.9*(F359*G359),AND(D359=5,H359="Pagas no prorrateadas"),1316.49*(F359*G359),AND(D359=7,H359="Pagas prorrateadas"),1493.61*(F359*G359),AND(D359=7,H359="Pagas no prorrateadas"),1280.24*(F359*G359)))</f>
        <v/>
      </c>
      <c r="K359" s="106" t="str">
        <f aca="false">IF(A359="","",IF(J359-I359&gt;=0,"OK",J359-I359))</f>
        <v/>
      </c>
    </row>
    <row r="360" customFormat="false" ht="14.25" hidden="false" customHeight="true" outlineLevel="0" collapsed="false">
      <c r="A360" s="106"/>
      <c r="B360" s="106"/>
      <c r="C360" s="107"/>
      <c r="D360" s="106"/>
      <c r="E360" s="106"/>
      <c r="F360" s="130" t="str">
        <f aca="false">IF(A360="","",MIN(E360/(37.5),1))</f>
        <v/>
      </c>
      <c r="G360" s="108"/>
      <c r="H360" s="106"/>
      <c r="I360" s="107"/>
      <c r="J360" s="131" t="str">
        <f aca="false" t="array" ref="J360:J360">IF(A360="","",ifs(AND(D360=1,H360="Pagas prorrateadas"),2705.41*(F360*G360),AND(D360=1,H360="Pagas no prorrateadas"),2318.93*(F360*G360),AND(D360=2,H360="Pagas prorrateadas"),2246.07*(F360*G360),AND(D360=2,H360="Pagas no prorrateadas"),1925.21*(F360*G360),AND(D360=3,H360="Pagas prorrateadas"),1775.44*(F360*G360),AND(D360=3,H360="Pagas no prorrateadas"),1521.81*(F360*G360),AND(D360=5,H360="Pagas prorrateadas"),1535.9*(F360*G360),AND(D360=5,H360="Pagas no prorrateadas"),1316.49*(F360*G360),AND(D360=7,H360="Pagas prorrateadas"),1493.61*(F360*G360),AND(D360=7,H360="Pagas no prorrateadas"),1280.24*(F360*G360)))</f>
        <v/>
      </c>
      <c r="K360" s="106" t="str">
        <f aca="false">IF(A360="","",IF(J360-I360&gt;=0,"OK",J360-I360))</f>
        <v/>
      </c>
    </row>
    <row r="361" customFormat="false" ht="14.25" hidden="false" customHeight="true" outlineLevel="0" collapsed="false">
      <c r="A361" s="106"/>
      <c r="B361" s="106"/>
      <c r="C361" s="107"/>
      <c r="D361" s="106"/>
      <c r="E361" s="106"/>
      <c r="F361" s="130" t="str">
        <f aca="false">IF(A361="","",MIN(E361/(37.5),1))</f>
        <v/>
      </c>
      <c r="G361" s="108"/>
      <c r="H361" s="106"/>
      <c r="I361" s="107"/>
      <c r="J361" s="131" t="str">
        <f aca="false" t="array" ref="J361:J361">IF(A361="","",ifs(AND(D361=1,H361="Pagas prorrateadas"),2705.41*(F361*G361),AND(D361=1,H361="Pagas no prorrateadas"),2318.93*(F361*G361),AND(D361=2,H361="Pagas prorrateadas"),2246.07*(F361*G361),AND(D361=2,H361="Pagas no prorrateadas"),1925.21*(F361*G361),AND(D361=3,H361="Pagas prorrateadas"),1775.44*(F361*G361),AND(D361=3,H361="Pagas no prorrateadas"),1521.81*(F361*G361),AND(D361=5,H361="Pagas prorrateadas"),1535.9*(F361*G361),AND(D361=5,H361="Pagas no prorrateadas"),1316.49*(F361*G361),AND(D361=7,H361="Pagas prorrateadas"),1493.61*(F361*G361),AND(D361=7,H361="Pagas no prorrateadas"),1280.24*(F361*G361)))</f>
        <v/>
      </c>
      <c r="K361" s="106" t="str">
        <f aca="false">IF(A361="","",IF(J361-I361&gt;=0,"OK",J361-I361))</f>
        <v/>
      </c>
    </row>
    <row r="362" customFormat="false" ht="14.25" hidden="false" customHeight="true" outlineLevel="0" collapsed="false">
      <c r="A362" s="106"/>
      <c r="B362" s="106"/>
      <c r="C362" s="107"/>
      <c r="D362" s="106"/>
      <c r="E362" s="106"/>
      <c r="F362" s="130" t="str">
        <f aca="false">IF(A362="","",MIN(E362/(37.5),1))</f>
        <v/>
      </c>
      <c r="G362" s="108"/>
      <c r="H362" s="106"/>
      <c r="I362" s="107"/>
      <c r="J362" s="131" t="str">
        <f aca="false" t="array" ref="J362:J362">IF(A362="","",ifs(AND(D362=1,H362="Pagas prorrateadas"),2705.41*(F362*G362),AND(D362=1,H362="Pagas no prorrateadas"),2318.93*(F362*G362),AND(D362=2,H362="Pagas prorrateadas"),2246.07*(F362*G362),AND(D362=2,H362="Pagas no prorrateadas"),1925.21*(F362*G362),AND(D362=3,H362="Pagas prorrateadas"),1775.44*(F362*G362),AND(D362=3,H362="Pagas no prorrateadas"),1521.81*(F362*G362),AND(D362=5,H362="Pagas prorrateadas"),1535.9*(F362*G362),AND(D362=5,H362="Pagas no prorrateadas"),1316.49*(F362*G362),AND(D362=7,H362="Pagas prorrateadas"),1493.61*(F362*G362),AND(D362=7,H362="Pagas no prorrateadas"),1280.24*(F362*G362)))</f>
        <v/>
      </c>
      <c r="K362" s="106" t="str">
        <f aca="false">IF(A362="","",IF(J362-I362&gt;=0,"OK",J362-I362))</f>
        <v/>
      </c>
    </row>
    <row r="363" customFormat="false" ht="14.25" hidden="false" customHeight="true" outlineLevel="0" collapsed="false">
      <c r="A363" s="106"/>
      <c r="B363" s="106"/>
      <c r="C363" s="107"/>
      <c r="D363" s="106"/>
      <c r="E363" s="106"/>
      <c r="F363" s="130" t="str">
        <f aca="false">IF(A363="","",MIN(E363/(37.5),1))</f>
        <v/>
      </c>
      <c r="G363" s="108"/>
      <c r="H363" s="106"/>
      <c r="I363" s="107"/>
      <c r="J363" s="131" t="str">
        <f aca="false" t="array" ref="J363:J363">IF(A363="","",ifs(AND(D363=1,H363="Pagas prorrateadas"),2705.41*(F363*G363),AND(D363=1,H363="Pagas no prorrateadas"),2318.93*(F363*G363),AND(D363=2,H363="Pagas prorrateadas"),2246.07*(F363*G363),AND(D363=2,H363="Pagas no prorrateadas"),1925.21*(F363*G363),AND(D363=3,H363="Pagas prorrateadas"),1775.44*(F363*G363),AND(D363=3,H363="Pagas no prorrateadas"),1521.81*(F363*G363),AND(D363=5,H363="Pagas prorrateadas"),1535.9*(F363*G363),AND(D363=5,H363="Pagas no prorrateadas"),1316.49*(F363*G363),AND(D363=7,H363="Pagas prorrateadas"),1493.61*(F363*G363),AND(D363=7,H363="Pagas no prorrateadas"),1280.24*(F363*G363)))</f>
        <v/>
      </c>
      <c r="K363" s="106" t="str">
        <f aca="false">IF(A363="","",IF(J363-I363&gt;=0,"OK",J363-I363))</f>
        <v/>
      </c>
    </row>
    <row r="364" customFormat="false" ht="14.25" hidden="false" customHeight="true" outlineLevel="0" collapsed="false">
      <c r="A364" s="106"/>
      <c r="B364" s="106"/>
      <c r="C364" s="107"/>
      <c r="D364" s="106"/>
      <c r="E364" s="106"/>
      <c r="F364" s="130" t="str">
        <f aca="false">IF(A364="","",MIN(E364/(37.5),1))</f>
        <v/>
      </c>
      <c r="G364" s="108"/>
      <c r="H364" s="106"/>
      <c r="I364" s="107"/>
      <c r="J364" s="131" t="str">
        <f aca="false" t="array" ref="J364:J364">IF(A364="","",ifs(AND(D364=1,H364="Pagas prorrateadas"),2705.41*(F364*G364),AND(D364=1,H364="Pagas no prorrateadas"),2318.93*(F364*G364),AND(D364=2,H364="Pagas prorrateadas"),2246.07*(F364*G364),AND(D364=2,H364="Pagas no prorrateadas"),1925.21*(F364*G364),AND(D364=3,H364="Pagas prorrateadas"),1775.44*(F364*G364),AND(D364=3,H364="Pagas no prorrateadas"),1521.81*(F364*G364),AND(D364=5,H364="Pagas prorrateadas"),1535.9*(F364*G364),AND(D364=5,H364="Pagas no prorrateadas"),1316.49*(F364*G364),AND(D364=7,H364="Pagas prorrateadas"),1493.61*(F364*G364),AND(D364=7,H364="Pagas no prorrateadas"),1280.24*(F364*G364)))</f>
        <v/>
      </c>
      <c r="K364" s="106" t="str">
        <f aca="false">IF(A364="","",IF(J364-I364&gt;=0,"OK",J364-I364))</f>
        <v/>
      </c>
    </row>
    <row r="365" customFormat="false" ht="14.25" hidden="false" customHeight="true" outlineLevel="0" collapsed="false">
      <c r="A365" s="106"/>
      <c r="B365" s="106"/>
      <c r="C365" s="107"/>
      <c r="D365" s="106"/>
      <c r="E365" s="106"/>
      <c r="F365" s="130" t="str">
        <f aca="false">IF(A365="","",MIN(E365/(37.5),1))</f>
        <v/>
      </c>
      <c r="G365" s="108"/>
      <c r="H365" s="106"/>
      <c r="I365" s="107"/>
      <c r="J365" s="131" t="str">
        <f aca="false" t="array" ref="J365:J365">IF(A365="","",ifs(AND(D365=1,H365="Pagas prorrateadas"),2705.41*(F365*G365),AND(D365=1,H365="Pagas no prorrateadas"),2318.93*(F365*G365),AND(D365=2,H365="Pagas prorrateadas"),2246.07*(F365*G365),AND(D365=2,H365="Pagas no prorrateadas"),1925.21*(F365*G365),AND(D365=3,H365="Pagas prorrateadas"),1775.44*(F365*G365),AND(D365=3,H365="Pagas no prorrateadas"),1521.81*(F365*G365),AND(D365=5,H365="Pagas prorrateadas"),1535.9*(F365*G365),AND(D365=5,H365="Pagas no prorrateadas"),1316.49*(F365*G365),AND(D365=7,H365="Pagas prorrateadas"),1493.61*(F365*G365),AND(D365=7,H365="Pagas no prorrateadas"),1280.24*(F365*G365)))</f>
        <v/>
      </c>
      <c r="K365" s="106" t="str">
        <f aca="false">IF(A365="","",IF(J365-I365&gt;=0,"OK",J365-I365))</f>
        <v/>
      </c>
    </row>
    <row r="366" customFormat="false" ht="14.25" hidden="false" customHeight="true" outlineLevel="0" collapsed="false">
      <c r="A366" s="106"/>
      <c r="B366" s="106"/>
      <c r="C366" s="107"/>
      <c r="D366" s="106"/>
      <c r="E366" s="106"/>
      <c r="F366" s="130" t="str">
        <f aca="false">IF(A366="","",MIN(E366/(37.5),1))</f>
        <v/>
      </c>
      <c r="G366" s="108"/>
      <c r="H366" s="106"/>
      <c r="I366" s="107"/>
      <c r="J366" s="131" t="str">
        <f aca="false" t="array" ref="J366:J366">IF(A366="","",ifs(AND(D366=1,H366="Pagas prorrateadas"),2705.41*(F366*G366),AND(D366=1,H366="Pagas no prorrateadas"),2318.93*(F366*G366),AND(D366=2,H366="Pagas prorrateadas"),2246.07*(F366*G366),AND(D366=2,H366="Pagas no prorrateadas"),1925.21*(F366*G366),AND(D366=3,H366="Pagas prorrateadas"),1775.44*(F366*G366),AND(D366=3,H366="Pagas no prorrateadas"),1521.81*(F366*G366),AND(D366=5,H366="Pagas prorrateadas"),1535.9*(F366*G366),AND(D366=5,H366="Pagas no prorrateadas"),1316.49*(F366*G366),AND(D366=7,H366="Pagas prorrateadas"),1493.61*(F366*G366),AND(D366=7,H366="Pagas no prorrateadas"),1280.24*(F366*G366)))</f>
        <v/>
      </c>
      <c r="K366" s="106" t="str">
        <f aca="false">IF(A366="","",IF(J366-I366&gt;=0,"OK",J366-I366))</f>
        <v/>
      </c>
    </row>
    <row r="367" customFormat="false" ht="14.25" hidden="false" customHeight="true" outlineLevel="0" collapsed="false">
      <c r="A367" s="106"/>
      <c r="B367" s="106"/>
      <c r="C367" s="107"/>
      <c r="D367" s="106"/>
      <c r="E367" s="106"/>
      <c r="F367" s="130" t="str">
        <f aca="false">IF(A367="","",MIN(E367/(37.5),1))</f>
        <v/>
      </c>
      <c r="G367" s="108"/>
      <c r="H367" s="106"/>
      <c r="I367" s="107"/>
      <c r="J367" s="131" t="str">
        <f aca="false" t="array" ref="J367:J367">IF(A367="","",ifs(AND(D367=1,H367="Pagas prorrateadas"),2705.41*(F367*G367),AND(D367=1,H367="Pagas no prorrateadas"),2318.93*(F367*G367),AND(D367=2,H367="Pagas prorrateadas"),2246.07*(F367*G367),AND(D367=2,H367="Pagas no prorrateadas"),1925.21*(F367*G367),AND(D367=3,H367="Pagas prorrateadas"),1775.44*(F367*G367),AND(D367=3,H367="Pagas no prorrateadas"),1521.81*(F367*G367),AND(D367=5,H367="Pagas prorrateadas"),1535.9*(F367*G367),AND(D367=5,H367="Pagas no prorrateadas"),1316.49*(F367*G367),AND(D367=7,H367="Pagas prorrateadas"),1493.61*(F367*G367),AND(D367=7,H367="Pagas no prorrateadas"),1280.24*(F367*G367)))</f>
        <v/>
      </c>
      <c r="K367" s="106" t="str">
        <f aca="false">IF(A367="","",IF(J367-I367&gt;=0,"OK",J367-I367))</f>
        <v/>
      </c>
    </row>
    <row r="368" customFormat="false" ht="14.25" hidden="false" customHeight="true" outlineLevel="0" collapsed="false">
      <c r="A368" s="106"/>
      <c r="B368" s="106"/>
      <c r="C368" s="107"/>
      <c r="D368" s="106"/>
      <c r="E368" s="106"/>
      <c r="F368" s="130" t="str">
        <f aca="false">IF(A368="","",MIN(E368/(37.5),1))</f>
        <v/>
      </c>
      <c r="G368" s="108"/>
      <c r="H368" s="106"/>
      <c r="I368" s="107"/>
      <c r="J368" s="131" t="str">
        <f aca="false" t="array" ref="J368:J368">IF(A368="","",ifs(AND(D368=1,H368="Pagas prorrateadas"),2705.41*(F368*G368),AND(D368=1,H368="Pagas no prorrateadas"),2318.93*(F368*G368),AND(D368=2,H368="Pagas prorrateadas"),2246.07*(F368*G368),AND(D368=2,H368="Pagas no prorrateadas"),1925.21*(F368*G368),AND(D368=3,H368="Pagas prorrateadas"),1775.44*(F368*G368),AND(D368=3,H368="Pagas no prorrateadas"),1521.81*(F368*G368),AND(D368=5,H368="Pagas prorrateadas"),1535.9*(F368*G368),AND(D368=5,H368="Pagas no prorrateadas"),1316.49*(F368*G368),AND(D368=7,H368="Pagas prorrateadas"),1493.61*(F368*G368),AND(D368=7,H368="Pagas no prorrateadas"),1280.24*(F368*G368)))</f>
        <v/>
      </c>
      <c r="K368" s="106" t="str">
        <f aca="false">IF(A368="","",IF(J368-I368&gt;=0,"OK",J368-I368))</f>
        <v/>
      </c>
    </row>
    <row r="369" customFormat="false" ht="14.25" hidden="false" customHeight="true" outlineLevel="0" collapsed="false">
      <c r="A369" s="106"/>
      <c r="B369" s="106"/>
      <c r="C369" s="107"/>
      <c r="D369" s="106"/>
      <c r="E369" s="106"/>
      <c r="F369" s="130" t="str">
        <f aca="false">IF(A369="","",MIN(E369/(37.5),1))</f>
        <v/>
      </c>
      <c r="G369" s="108"/>
      <c r="H369" s="106"/>
      <c r="I369" s="107"/>
      <c r="J369" s="131" t="str">
        <f aca="false" t="array" ref="J369:J369">IF(A369="","",ifs(AND(D369=1,H369="Pagas prorrateadas"),2705.41*(F369*G369),AND(D369=1,H369="Pagas no prorrateadas"),2318.93*(F369*G369),AND(D369=2,H369="Pagas prorrateadas"),2246.07*(F369*G369),AND(D369=2,H369="Pagas no prorrateadas"),1925.21*(F369*G369),AND(D369=3,H369="Pagas prorrateadas"),1775.44*(F369*G369),AND(D369=3,H369="Pagas no prorrateadas"),1521.81*(F369*G369),AND(D369=5,H369="Pagas prorrateadas"),1535.9*(F369*G369),AND(D369=5,H369="Pagas no prorrateadas"),1316.49*(F369*G369),AND(D369=7,H369="Pagas prorrateadas"),1493.61*(F369*G369),AND(D369=7,H369="Pagas no prorrateadas"),1280.24*(F369*G369)))</f>
        <v/>
      </c>
      <c r="K369" s="106" t="str">
        <f aca="false">IF(A369="","",IF(J369-I369&gt;=0,"OK",J369-I369))</f>
        <v/>
      </c>
    </row>
    <row r="370" customFormat="false" ht="14.25" hidden="false" customHeight="true" outlineLevel="0" collapsed="false">
      <c r="A370" s="106"/>
      <c r="B370" s="106"/>
      <c r="C370" s="107"/>
      <c r="D370" s="106"/>
      <c r="E370" s="106"/>
      <c r="F370" s="130" t="str">
        <f aca="false">IF(A370="","",MIN(E370/(37.5),1))</f>
        <v/>
      </c>
      <c r="G370" s="108"/>
      <c r="H370" s="106"/>
      <c r="I370" s="107"/>
      <c r="J370" s="131" t="str">
        <f aca="false" t="array" ref="J370:J370">IF(A370="","",ifs(AND(D370=1,H370="Pagas prorrateadas"),2705.41*(F370*G370),AND(D370=1,H370="Pagas no prorrateadas"),2318.93*(F370*G370),AND(D370=2,H370="Pagas prorrateadas"),2246.07*(F370*G370),AND(D370=2,H370="Pagas no prorrateadas"),1925.21*(F370*G370),AND(D370=3,H370="Pagas prorrateadas"),1775.44*(F370*G370),AND(D370=3,H370="Pagas no prorrateadas"),1521.81*(F370*G370),AND(D370=5,H370="Pagas prorrateadas"),1535.9*(F370*G370),AND(D370=5,H370="Pagas no prorrateadas"),1316.49*(F370*G370),AND(D370=7,H370="Pagas prorrateadas"),1493.61*(F370*G370),AND(D370=7,H370="Pagas no prorrateadas"),1280.24*(F370*G370)))</f>
        <v/>
      </c>
      <c r="K370" s="106" t="str">
        <f aca="false">IF(A370="","",IF(J370-I370&gt;=0,"OK",J370-I370))</f>
        <v/>
      </c>
    </row>
    <row r="371" customFormat="false" ht="14.25" hidden="false" customHeight="true" outlineLevel="0" collapsed="false">
      <c r="A371" s="106"/>
      <c r="B371" s="106"/>
      <c r="C371" s="107"/>
      <c r="D371" s="106"/>
      <c r="E371" s="106"/>
      <c r="F371" s="130" t="str">
        <f aca="false">IF(A371="","",MIN(E371/(37.5),1))</f>
        <v/>
      </c>
      <c r="G371" s="108"/>
      <c r="H371" s="106"/>
      <c r="I371" s="107"/>
      <c r="J371" s="131" t="str">
        <f aca="false" t="array" ref="J371:J371">IF(A371="","",ifs(AND(D371=1,H371="Pagas prorrateadas"),2705.41*(F371*G371),AND(D371=1,H371="Pagas no prorrateadas"),2318.93*(F371*G371),AND(D371=2,H371="Pagas prorrateadas"),2246.07*(F371*G371),AND(D371=2,H371="Pagas no prorrateadas"),1925.21*(F371*G371),AND(D371=3,H371="Pagas prorrateadas"),1775.44*(F371*G371),AND(D371=3,H371="Pagas no prorrateadas"),1521.81*(F371*G371),AND(D371=5,H371="Pagas prorrateadas"),1535.9*(F371*G371),AND(D371=5,H371="Pagas no prorrateadas"),1316.49*(F371*G371),AND(D371=7,H371="Pagas prorrateadas"),1493.61*(F371*G371),AND(D371=7,H371="Pagas no prorrateadas"),1280.24*(F371*G371)))</f>
        <v/>
      </c>
      <c r="K371" s="106" t="str">
        <f aca="false">IF(A371="","",IF(J371-I371&gt;=0,"OK",J371-I371))</f>
        <v/>
      </c>
    </row>
    <row r="372" customFormat="false" ht="14.25" hidden="false" customHeight="true" outlineLevel="0" collapsed="false">
      <c r="A372" s="106"/>
      <c r="B372" s="106"/>
      <c r="C372" s="107"/>
      <c r="D372" s="106"/>
      <c r="E372" s="106"/>
      <c r="F372" s="130" t="str">
        <f aca="false">IF(A372="","",MIN(E372/(37.5),1))</f>
        <v/>
      </c>
      <c r="G372" s="108"/>
      <c r="H372" s="106"/>
      <c r="I372" s="107"/>
      <c r="J372" s="131" t="str">
        <f aca="false" t="array" ref="J372:J372">IF(A372="","",ifs(AND(D372=1,H372="Pagas prorrateadas"),2705.41*(F372*G372),AND(D372=1,H372="Pagas no prorrateadas"),2318.93*(F372*G372),AND(D372=2,H372="Pagas prorrateadas"),2246.07*(F372*G372),AND(D372=2,H372="Pagas no prorrateadas"),1925.21*(F372*G372),AND(D372=3,H372="Pagas prorrateadas"),1775.44*(F372*G372),AND(D372=3,H372="Pagas no prorrateadas"),1521.81*(F372*G372),AND(D372=5,H372="Pagas prorrateadas"),1535.9*(F372*G372),AND(D372=5,H372="Pagas no prorrateadas"),1316.49*(F372*G372),AND(D372=7,H372="Pagas prorrateadas"),1493.61*(F372*G372),AND(D372=7,H372="Pagas no prorrateadas"),1280.24*(F372*G372)))</f>
        <v/>
      </c>
      <c r="K372" s="106" t="str">
        <f aca="false">IF(A372="","",IF(J372-I372&gt;=0,"OK",J372-I372))</f>
        <v/>
      </c>
    </row>
    <row r="373" customFormat="false" ht="14.25" hidden="false" customHeight="true" outlineLevel="0" collapsed="false">
      <c r="A373" s="106"/>
      <c r="B373" s="106"/>
      <c r="C373" s="107"/>
      <c r="D373" s="106"/>
      <c r="E373" s="106"/>
      <c r="F373" s="130" t="str">
        <f aca="false">IF(A373="","",MIN(E373/(37.5),1))</f>
        <v/>
      </c>
      <c r="G373" s="108"/>
      <c r="H373" s="106"/>
      <c r="I373" s="107"/>
      <c r="J373" s="131" t="str">
        <f aca="false" t="array" ref="J373:J373">IF(A373="","",ifs(AND(D373=1,H373="Pagas prorrateadas"),2705.41*(F373*G373),AND(D373=1,H373="Pagas no prorrateadas"),2318.93*(F373*G373),AND(D373=2,H373="Pagas prorrateadas"),2246.07*(F373*G373),AND(D373=2,H373="Pagas no prorrateadas"),1925.21*(F373*G373),AND(D373=3,H373="Pagas prorrateadas"),1775.44*(F373*G373),AND(D373=3,H373="Pagas no prorrateadas"),1521.81*(F373*G373),AND(D373=5,H373="Pagas prorrateadas"),1535.9*(F373*G373),AND(D373=5,H373="Pagas no prorrateadas"),1316.49*(F373*G373),AND(D373=7,H373="Pagas prorrateadas"),1493.61*(F373*G373),AND(D373=7,H373="Pagas no prorrateadas"),1280.24*(F373*G373)))</f>
        <v/>
      </c>
      <c r="K373" s="106" t="str">
        <f aca="false">IF(A373="","",IF(J373-I373&gt;=0,"OK",J373-I373))</f>
        <v/>
      </c>
    </row>
    <row r="374" customFormat="false" ht="14.25" hidden="false" customHeight="true" outlineLevel="0" collapsed="false">
      <c r="A374" s="106"/>
      <c r="B374" s="106"/>
      <c r="C374" s="107"/>
      <c r="D374" s="106"/>
      <c r="E374" s="106"/>
      <c r="F374" s="130" t="str">
        <f aca="false">IF(A374="","",MIN(E374/(37.5),1))</f>
        <v/>
      </c>
      <c r="G374" s="108"/>
      <c r="H374" s="106"/>
      <c r="I374" s="107"/>
      <c r="J374" s="131" t="str">
        <f aca="false" t="array" ref="J374:J374">IF(A374="","",ifs(AND(D374=1,H374="Pagas prorrateadas"),2705.41*(F374*G374),AND(D374=1,H374="Pagas no prorrateadas"),2318.93*(F374*G374),AND(D374=2,H374="Pagas prorrateadas"),2246.07*(F374*G374),AND(D374=2,H374="Pagas no prorrateadas"),1925.21*(F374*G374),AND(D374=3,H374="Pagas prorrateadas"),1775.44*(F374*G374),AND(D374=3,H374="Pagas no prorrateadas"),1521.81*(F374*G374),AND(D374=5,H374="Pagas prorrateadas"),1535.9*(F374*G374),AND(D374=5,H374="Pagas no prorrateadas"),1316.49*(F374*G374),AND(D374=7,H374="Pagas prorrateadas"),1493.61*(F374*G374),AND(D374=7,H374="Pagas no prorrateadas"),1280.24*(F374*G374)))</f>
        <v/>
      </c>
      <c r="K374" s="106" t="str">
        <f aca="false">IF(A374="","",IF(J374-I374&gt;=0,"OK",J374-I374))</f>
        <v/>
      </c>
    </row>
    <row r="375" customFormat="false" ht="14.25" hidden="false" customHeight="true" outlineLevel="0" collapsed="false">
      <c r="A375" s="106"/>
      <c r="B375" s="106"/>
      <c r="C375" s="107"/>
      <c r="D375" s="106"/>
      <c r="E375" s="106"/>
      <c r="F375" s="130" t="str">
        <f aca="false">IF(A375="","",MIN(E375/(37.5),1))</f>
        <v/>
      </c>
      <c r="G375" s="108"/>
      <c r="H375" s="106"/>
      <c r="I375" s="107"/>
      <c r="J375" s="131" t="str">
        <f aca="false" t="array" ref="J375:J375">IF(A375="","",ifs(AND(D375=1,H375="Pagas prorrateadas"),2705.41*(F375*G375),AND(D375=1,H375="Pagas no prorrateadas"),2318.93*(F375*G375),AND(D375=2,H375="Pagas prorrateadas"),2246.07*(F375*G375),AND(D375=2,H375="Pagas no prorrateadas"),1925.21*(F375*G375),AND(D375=3,H375="Pagas prorrateadas"),1775.44*(F375*G375),AND(D375=3,H375="Pagas no prorrateadas"),1521.81*(F375*G375),AND(D375=5,H375="Pagas prorrateadas"),1535.9*(F375*G375),AND(D375=5,H375="Pagas no prorrateadas"),1316.49*(F375*G375),AND(D375=7,H375="Pagas prorrateadas"),1493.61*(F375*G375),AND(D375=7,H375="Pagas no prorrateadas"),1280.24*(F375*G375)))</f>
        <v/>
      </c>
      <c r="K375" s="106" t="str">
        <f aca="false">IF(A375="","",IF(J375-I375&gt;=0,"OK",J375-I375))</f>
        <v/>
      </c>
    </row>
    <row r="376" customFormat="false" ht="14.25" hidden="false" customHeight="true" outlineLevel="0" collapsed="false">
      <c r="A376" s="106"/>
      <c r="B376" s="106"/>
      <c r="C376" s="107"/>
      <c r="D376" s="106"/>
      <c r="E376" s="106"/>
      <c r="F376" s="130" t="str">
        <f aca="false">IF(A376="","",MIN(E376/(37.5),1))</f>
        <v/>
      </c>
      <c r="G376" s="108"/>
      <c r="H376" s="106"/>
      <c r="I376" s="107"/>
      <c r="J376" s="131" t="str">
        <f aca="false" t="array" ref="J376:J376">IF(A376="","",ifs(AND(D376=1,H376="Pagas prorrateadas"),2705.41*(F376*G376),AND(D376=1,H376="Pagas no prorrateadas"),2318.93*(F376*G376),AND(D376=2,H376="Pagas prorrateadas"),2246.07*(F376*G376),AND(D376=2,H376="Pagas no prorrateadas"),1925.21*(F376*G376),AND(D376=3,H376="Pagas prorrateadas"),1775.44*(F376*G376),AND(D376=3,H376="Pagas no prorrateadas"),1521.81*(F376*G376),AND(D376=5,H376="Pagas prorrateadas"),1535.9*(F376*G376),AND(D376=5,H376="Pagas no prorrateadas"),1316.49*(F376*G376),AND(D376=7,H376="Pagas prorrateadas"),1493.61*(F376*G376),AND(D376=7,H376="Pagas no prorrateadas"),1280.24*(F376*G376)))</f>
        <v/>
      </c>
      <c r="K376" s="106" t="str">
        <f aca="false">IF(A376="","",IF(J376-I376&gt;=0,"OK",J376-I376))</f>
        <v/>
      </c>
    </row>
    <row r="377" customFormat="false" ht="14.25" hidden="false" customHeight="true" outlineLevel="0" collapsed="false">
      <c r="A377" s="106"/>
      <c r="B377" s="106"/>
      <c r="C377" s="107"/>
      <c r="D377" s="106"/>
      <c r="E377" s="106"/>
      <c r="F377" s="130" t="str">
        <f aca="false">IF(A377="","",MIN(E377/(37.5),1))</f>
        <v/>
      </c>
      <c r="G377" s="108"/>
      <c r="H377" s="106"/>
      <c r="I377" s="107"/>
      <c r="J377" s="131" t="str">
        <f aca="false" t="array" ref="J377:J377">IF(A377="","",ifs(AND(D377=1,H377="Pagas prorrateadas"),2705.41*(F377*G377),AND(D377=1,H377="Pagas no prorrateadas"),2318.93*(F377*G377),AND(D377=2,H377="Pagas prorrateadas"),2246.07*(F377*G377),AND(D377=2,H377="Pagas no prorrateadas"),1925.21*(F377*G377),AND(D377=3,H377="Pagas prorrateadas"),1775.44*(F377*G377),AND(D377=3,H377="Pagas no prorrateadas"),1521.81*(F377*G377),AND(D377=5,H377="Pagas prorrateadas"),1535.9*(F377*G377),AND(D377=5,H377="Pagas no prorrateadas"),1316.49*(F377*G377),AND(D377=7,H377="Pagas prorrateadas"),1493.61*(F377*G377),AND(D377=7,H377="Pagas no prorrateadas"),1280.24*(F377*G377)))</f>
        <v/>
      </c>
      <c r="K377" s="106" t="str">
        <f aca="false">IF(A377="","",IF(J377-I377&gt;=0,"OK",J377-I377))</f>
        <v/>
      </c>
    </row>
    <row r="378" customFormat="false" ht="14.25" hidden="false" customHeight="true" outlineLevel="0" collapsed="false">
      <c r="A378" s="106"/>
      <c r="B378" s="106"/>
      <c r="C378" s="107"/>
      <c r="D378" s="106"/>
      <c r="E378" s="106"/>
      <c r="F378" s="130" t="str">
        <f aca="false">IF(A378="","",MIN(E378/(37.5),1))</f>
        <v/>
      </c>
      <c r="G378" s="108"/>
      <c r="H378" s="106"/>
      <c r="I378" s="107"/>
      <c r="J378" s="131" t="str">
        <f aca="false" t="array" ref="J378:J378">IF(A378="","",ifs(AND(D378=1,H378="Pagas prorrateadas"),2705.41*(F378*G378),AND(D378=1,H378="Pagas no prorrateadas"),2318.93*(F378*G378),AND(D378=2,H378="Pagas prorrateadas"),2246.07*(F378*G378),AND(D378=2,H378="Pagas no prorrateadas"),1925.21*(F378*G378),AND(D378=3,H378="Pagas prorrateadas"),1775.44*(F378*G378),AND(D378=3,H378="Pagas no prorrateadas"),1521.81*(F378*G378),AND(D378=5,H378="Pagas prorrateadas"),1535.9*(F378*G378),AND(D378=5,H378="Pagas no prorrateadas"),1316.49*(F378*G378),AND(D378=7,H378="Pagas prorrateadas"),1493.61*(F378*G378),AND(D378=7,H378="Pagas no prorrateadas"),1280.24*(F378*G378)))</f>
        <v/>
      </c>
      <c r="K378" s="106" t="str">
        <f aca="false">IF(A378="","",IF(J378-I378&gt;=0,"OK",J378-I378))</f>
        <v/>
      </c>
    </row>
    <row r="379" customFormat="false" ht="14.25" hidden="false" customHeight="true" outlineLevel="0" collapsed="false">
      <c r="A379" s="106"/>
      <c r="B379" s="106"/>
      <c r="C379" s="107"/>
      <c r="D379" s="106"/>
      <c r="E379" s="106"/>
      <c r="F379" s="130" t="str">
        <f aca="false">IF(A379="","",MIN(E379/(37.5),1))</f>
        <v/>
      </c>
      <c r="G379" s="108"/>
      <c r="H379" s="106"/>
      <c r="I379" s="107"/>
      <c r="J379" s="131" t="str">
        <f aca="false" t="array" ref="J379:J379">IF(A379="","",ifs(AND(D379=1,H379="Pagas prorrateadas"),2705.41*(F379*G379),AND(D379=1,H379="Pagas no prorrateadas"),2318.93*(F379*G379),AND(D379=2,H379="Pagas prorrateadas"),2246.07*(F379*G379),AND(D379=2,H379="Pagas no prorrateadas"),1925.21*(F379*G379),AND(D379=3,H379="Pagas prorrateadas"),1775.44*(F379*G379),AND(D379=3,H379="Pagas no prorrateadas"),1521.81*(F379*G379),AND(D379=5,H379="Pagas prorrateadas"),1535.9*(F379*G379),AND(D379=5,H379="Pagas no prorrateadas"),1316.49*(F379*G379),AND(D379=7,H379="Pagas prorrateadas"),1493.61*(F379*G379),AND(D379=7,H379="Pagas no prorrateadas"),1280.24*(F379*G379)))</f>
        <v/>
      </c>
      <c r="K379" s="106" t="str">
        <f aca="false">IF(A379="","",IF(J379-I379&gt;=0,"OK",J379-I379))</f>
        <v/>
      </c>
    </row>
    <row r="380" customFormat="false" ht="14.25" hidden="false" customHeight="true" outlineLevel="0" collapsed="false">
      <c r="A380" s="106"/>
      <c r="B380" s="106"/>
      <c r="C380" s="107"/>
      <c r="D380" s="106"/>
      <c r="E380" s="106"/>
      <c r="F380" s="130" t="str">
        <f aca="false">IF(A380="","",MIN(E380/(37.5),1))</f>
        <v/>
      </c>
      <c r="G380" s="108"/>
      <c r="H380" s="106"/>
      <c r="I380" s="107"/>
      <c r="J380" s="131" t="str">
        <f aca="false" t="array" ref="J380:J380">IF(A380="","",ifs(AND(D380=1,H380="Pagas prorrateadas"),2705.41*(F380*G380),AND(D380=1,H380="Pagas no prorrateadas"),2318.93*(F380*G380),AND(D380=2,H380="Pagas prorrateadas"),2246.07*(F380*G380),AND(D380=2,H380="Pagas no prorrateadas"),1925.21*(F380*G380),AND(D380=3,H380="Pagas prorrateadas"),1775.44*(F380*G380),AND(D380=3,H380="Pagas no prorrateadas"),1521.81*(F380*G380),AND(D380=5,H380="Pagas prorrateadas"),1535.9*(F380*G380),AND(D380=5,H380="Pagas no prorrateadas"),1316.49*(F380*G380),AND(D380=7,H380="Pagas prorrateadas"),1493.61*(F380*G380),AND(D380=7,H380="Pagas no prorrateadas"),1280.24*(F380*G380)))</f>
        <v/>
      </c>
      <c r="K380" s="106" t="str">
        <f aca="false">IF(A380="","",IF(J380-I380&gt;=0,"OK",J380-I380))</f>
        <v/>
      </c>
    </row>
    <row r="381" customFormat="false" ht="14.25" hidden="false" customHeight="true" outlineLevel="0" collapsed="false">
      <c r="A381" s="106"/>
      <c r="B381" s="106"/>
      <c r="C381" s="107"/>
      <c r="D381" s="106"/>
      <c r="E381" s="106"/>
      <c r="F381" s="130" t="str">
        <f aca="false">IF(A381="","",MIN(E381/(37.5),1))</f>
        <v/>
      </c>
      <c r="G381" s="108"/>
      <c r="H381" s="106"/>
      <c r="I381" s="107"/>
      <c r="J381" s="131" t="str">
        <f aca="false" t="array" ref="J381:J381">IF(A381="","",ifs(AND(D381=1,H381="Pagas prorrateadas"),2705.41*(F381*G381),AND(D381=1,H381="Pagas no prorrateadas"),2318.93*(F381*G381),AND(D381=2,H381="Pagas prorrateadas"),2246.07*(F381*G381),AND(D381=2,H381="Pagas no prorrateadas"),1925.21*(F381*G381),AND(D381=3,H381="Pagas prorrateadas"),1775.44*(F381*G381),AND(D381=3,H381="Pagas no prorrateadas"),1521.81*(F381*G381),AND(D381=5,H381="Pagas prorrateadas"),1535.9*(F381*G381),AND(D381=5,H381="Pagas no prorrateadas"),1316.49*(F381*G381),AND(D381=7,H381="Pagas prorrateadas"),1493.61*(F381*G381),AND(D381=7,H381="Pagas no prorrateadas"),1280.24*(F381*G381)))</f>
        <v/>
      </c>
      <c r="K381" s="106" t="str">
        <f aca="false">IF(A381="","",IF(J381-I381&gt;=0,"OK",J381-I381))</f>
        <v/>
      </c>
    </row>
    <row r="382" customFormat="false" ht="14.25" hidden="false" customHeight="true" outlineLevel="0" collapsed="false">
      <c r="A382" s="106"/>
      <c r="B382" s="106"/>
      <c r="C382" s="107"/>
      <c r="D382" s="106"/>
      <c r="E382" s="106"/>
      <c r="F382" s="130" t="str">
        <f aca="false">IF(A382="","",MIN(E382/(37.5),1))</f>
        <v/>
      </c>
      <c r="G382" s="108"/>
      <c r="H382" s="106"/>
      <c r="I382" s="107"/>
      <c r="J382" s="131" t="str">
        <f aca="false" t="array" ref="J382:J382">IF(A382="","",ifs(AND(D382=1,H382="Pagas prorrateadas"),2705.41*(F382*G382),AND(D382=1,H382="Pagas no prorrateadas"),2318.93*(F382*G382),AND(D382=2,H382="Pagas prorrateadas"),2246.07*(F382*G382),AND(D382=2,H382="Pagas no prorrateadas"),1925.21*(F382*G382),AND(D382=3,H382="Pagas prorrateadas"),1775.44*(F382*G382),AND(D382=3,H382="Pagas no prorrateadas"),1521.81*(F382*G382),AND(D382=5,H382="Pagas prorrateadas"),1535.9*(F382*G382),AND(D382=5,H382="Pagas no prorrateadas"),1316.49*(F382*G382),AND(D382=7,H382="Pagas prorrateadas"),1493.61*(F382*G382),AND(D382=7,H382="Pagas no prorrateadas"),1280.24*(F382*G382)))</f>
        <v/>
      </c>
      <c r="K382" s="106" t="str">
        <f aca="false">IF(A382="","",IF(J382-I382&gt;=0,"OK",J382-I382))</f>
        <v/>
      </c>
    </row>
    <row r="383" customFormat="false" ht="14.25" hidden="false" customHeight="true" outlineLevel="0" collapsed="false">
      <c r="A383" s="106"/>
      <c r="B383" s="106"/>
      <c r="C383" s="107"/>
      <c r="D383" s="106"/>
      <c r="E383" s="106"/>
      <c r="F383" s="130" t="str">
        <f aca="false">IF(A383="","",MIN(E383/(37.5),1))</f>
        <v/>
      </c>
      <c r="G383" s="108"/>
      <c r="H383" s="106"/>
      <c r="I383" s="107"/>
      <c r="J383" s="131" t="str">
        <f aca="false" t="array" ref="J383:J383">IF(A383="","",ifs(AND(D383=1,H383="Pagas prorrateadas"),2705.41*(F383*G383),AND(D383=1,H383="Pagas no prorrateadas"),2318.93*(F383*G383),AND(D383=2,H383="Pagas prorrateadas"),2246.07*(F383*G383),AND(D383=2,H383="Pagas no prorrateadas"),1925.21*(F383*G383),AND(D383=3,H383="Pagas prorrateadas"),1775.44*(F383*G383),AND(D383=3,H383="Pagas no prorrateadas"),1521.81*(F383*G383),AND(D383=5,H383="Pagas prorrateadas"),1535.9*(F383*G383),AND(D383=5,H383="Pagas no prorrateadas"),1316.49*(F383*G383),AND(D383=7,H383="Pagas prorrateadas"),1493.61*(F383*G383),AND(D383=7,H383="Pagas no prorrateadas"),1280.24*(F383*G383)))</f>
        <v/>
      </c>
      <c r="K383" s="106" t="str">
        <f aca="false">IF(A383="","",IF(J383-I383&gt;=0,"OK",J383-I383))</f>
        <v/>
      </c>
    </row>
    <row r="384" customFormat="false" ht="14.25" hidden="false" customHeight="true" outlineLevel="0" collapsed="false">
      <c r="A384" s="106"/>
      <c r="B384" s="106"/>
      <c r="C384" s="107"/>
      <c r="D384" s="106"/>
      <c r="E384" s="106"/>
      <c r="F384" s="130" t="str">
        <f aca="false">IF(A384="","",MIN(E384/(37.5),1))</f>
        <v/>
      </c>
      <c r="G384" s="108"/>
      <c r="H384" s="106"/>
      <c r="I384" s="107"/>
      <c r="J384" s="131" t="str">
        <f aca="false" t="array" ref="J384:J384">IF(A384="","",ifs(AND(D384=1,H384="Pagas prorrateadas"),2705.41*(F384*G384),AND(D384=1,H384="Pagas no prorrateadas"),2318.93*(F384*G384),AND(D384=2,H384="Pagas prorrateadas"),2246.07*(F384*G384),AND(D384=2,H384="Pagas no prorrateadas"),1925.21*(F384*G384),AND(D384=3,H384="Pagas prorrateadas"),1775.44*(F384*G384),AND(D384=3,H384="Pagas no prorrateadas"),1521.81*(F384*G384),AND(D384=5,H384="Pagas prorrateadas"),1535.9*(F384*G384),AND(D384=5,H384="Pagas no prorrateadas"),1316.49*(F384*G384),AND(D384=7,H384="Pagas prorrateadas"),1493.61*(F384*G384),AND(D384=7,H384="Pagas no prorrateadas"),1280.24*(F384*G384)))</f>
        <v/>
      </c>
      <c r="K384" s="106" t="str">
        <f aca="false">IF(A384="","",IF(J384-I384&gt;=0,"OK",J384-I384))</f>
        <v/>
      </c>
    </row>
    <row r="385" customFormat="false" ht="14.25" hidden="false" customHeight="true" outlineLevel="0" collapsed="false">
      <c r="A385" s="106"/>
      <c r="B385" s="106"/>
      <c r="C385" s="107"/>
      <c r="D385" s="106"/>
      <c r="E385" s="106"/>
      <c r="F385" s="130" t="str">
        <f aca="false">IF(A385="","",MIN(E385/(37.5),1))</f>
        <v/>
      </c>
      <c r="G385" s="108"/>
      <c r="H385" s="106"/>
      <c r="I385" s="107"/>
      <c r="J385" s="131" t="str">
        <f aca="false" t="array" ref="J385:J385">IF(A385="","",ifs(AND(D385=1,H385="Pagas prorrateadas"),2705.41*(F385*G385),AND(D385=1,H385="Pagas no prorrateadas"),2318.93*(F385*G385),AND(D385=2,H385="Pagas prorrateadas"),2246.07*(F385*G385),AND(D385=2,H385="Pagas no prorrateadas"),1925.21*(F385*G385),AND(D385=3,H385="Pagas prorrateadas"),1775.44*(F385*G385),AND(D385=3,H385="Pagas no prorrateadas"),1521.81*(F385*G385),AND(D385=5,H385="Pagas prorrateadas"),1535.9*(F385*G385),AND(D385=5,H385="Pagas no prorrateadas"),1316.49*(F385*G385),AND(D385=7,H385="Pagas prorrateadas"),1493.61*(F385*G385),AND(D385=7,H385="Pagas no prorrateadas"),1280.24*(F385*G385)))</f>
        <v/>
      </c>
      <c r="K385" s="106" t="str">
        <f aca="false">IF(A385="","",IF(J385-I385&gt;=0,"OK",J385-I385))</f>
        <v/>
      </c>
    </row>
    <row r="386" customFormat="false" ht="14.25" hidden="false" customHeight="true" outlineLevel="0" collapsed="false">
      <c r="A386" s="106"/>
      <c r="B386" s="106"/>
      <c r="C386" s="107"/>
      <c r="D386" s="106"/>
      <c r="E386" s="106"/>
      <c r="F386" s="130" t="str">
        <f aca="false">IF(A386="","",MIN(E386/(37.5),1))</f>
        <v/>
      </c>
      <c r="G386" s="108"/>
      <c r="H386" s="106"/>
      <c r="I386" s="107"/>
      <c r="J386" s="131" t="str">
        <f aca="false" t="array" ref="J386:J386">IF(A386="","",ifs(AND(D386=1,H386="Pagas prorrateadas"),2705.41*(F386*G386),AND(D386=1,H386="Pagas no prorrateadas"),2318.93*(F386*G386),AND(D386=2,H386="Pagas prorrateadas"),2246.07*(F386*G386),AND(D386=2,H386="Pagas no prorrateadas"),1925.21*(F386*G386),AND(D386=3,H386="Pagas prorrateadas"),1775.44*(F386*G386),AND(D386=3,H386="Pagas no prorrateadas"),1521.81*(F386*G386),AND(D386=5,H386="Pagas prorrateadas"),1535.9*(F386*G386),AND(D386=5,H386="Pagas no prorrateadas"),1316.49*(F386*G386),AND(D386=7,H386="Pagas prorrateadas"),1493.61*(F386*G386),AND(D386=7,H386="Pagas no prorrateadas"),1280.24*(F386*G386)))</f>
        <v/>
      </c>
      <c r="K386" s="106" t="str">
        <f aca="false">IF(A386="","",IF(J386-I386&gt;=0,"OK",J386-I386))</f>
        <v/>
      </c>
    </row>
    <row r="387" customFormat="false" ht="14.25" hidden="false" customHeight="true" outlineLevel="0" collapsed="false">
      <c r="A387" s="106"/>
      <c r="B387" s="106"/>
      <c r="C387" s="107"/>
      <c r="D387" s="106"/>
      <c r="E387" s="106"/>
      <c r="F387" s="130" t="str">
        <f aca="false">IF(A387="","",MIN(E387/(37.5),1))</f>
        <v/>
      </c>
      <c r="G387" s="108"/>
      <c r="H387" s="106"/>
      <c r="I387" s="107"/>
      <c r="J387" s="131" t="str">
        <f aca="false" t="array" ref="J387:J387">IF(A387="","",ifs(AND(D387=1,H387="Pagas prorrateadas"),2705.41*(F387*G387),AND(D387=1,H387="Pagas no prorrateadas"),2318.93*(F387*G387),AND(D387=2,H387="Pagas prorrateadas"),2246.07*(F387*G387),AND(D387=2,H387="Pagas no prorrateadas"),1925.21*(F387*G387),AND(D387=3,H387="Pagas prorrateadas"),1775.44*(F387*G387),AND(D387=3,H387="Pagas no prorrateadas"),1521.81*(F387*G387),AND(D387=5,H387="Pagas prorrateadas"),1535.9*(F387*G387),AND(D387=5,H387="Pagas no prorrateadas"),1316.49*(F387*G387),AND(D387=7,H387="Pagas prorrateadas"),1493.61*(F387*G387),AND(D387=7,H387="Pagas no prorrateadas"),1280.24*(F387*G387)))</f>
        <v/>
      </c>
      <c r="K387" s="106" t="str">
        <f aca="false">IF(A387="","",IF(J387-I387&gt;=0,"OK",J387-I387))</f>
        <v/>
      </c>
    </row>
    <row r="388" customFormat="false" ht="14.25" hidden="false" customHeight="true" outlineLevel="0" collapsed="false">
      <c r="A388" s="106"/>
      <c r="B388" s="106"/>
      <c r="C388" s="107"/>
      <c r="D388" s="106"/>
      <c r="E388" s="106"/>
      <c r="F388" s="130" t="str">
        <f aca="false">IF(A388="","",MIN(E388/(37.5),1))</f>
        <v/>
      </c>
      <c r="G388" s="108"/>
      <c r="H388" s="106"/>
      <c r="I388" s="107"/>
      <c r="J388" s="131" t="str">
        <f aca="false" t="array" ref="J388:J388">IF(A388="","",ifs(AND(D388=1,H388="Pagas prorrateadas"),2705.41*(F388*G388),AND(D388=1,H388="Pagas no prorrateadas"),2318.93*(F388*G388),AND(D388=2,H388="Pagas prorrateadas"),2246.07*(F388*G388),AND(D388=2,H388="Pagas no prorrateadas"),1925.21*(F388*G388),AND(D388=3,H388="Pagas prorrateadas"),1775.44*(F388*G388),AND(D388=3,H388="Pagas no prorrateadas"),1521.81*(F388*G388),AND(D388=5,H388="Pagas prorrateadas"),1535.9*(F388*G388),AND(D388=5,H388="Pagas no prorrateadas"),1316.49*(F388*G388),AND(D388=7,H388="Pagas prorrateadas"),1493.61*(F388*G388),AND(D388=7,H388="Pagas no prorrateadas"),1280.24*(F388*G388)))</f>
        <v/>
      </c>
      <c r="K388" s="106" t="str">
        <f aca="false">IF(A388="","",IF(J388-I388&gt;=0,"OK",J388-I388))</f>
        <v/>
      </c>
    </row>
    <row r="389" customFormat="false" ht="14.25" hidden="false" customHeight="true" outlineLevel="0" collapsed="false">
      <c r="A389" s="106"/>
      <c r="B389" s="106"/>
      <c r="C389" s="107"/>
      <c r="D389" s="106"/>
      <c r="E389" s="106"/>
      <c r="F389" s="130" t="str">
        <f aca="false">IF(A389="","",MIN(E389/(37.5),1))</f>
        <v/>
      </c>
      <c r="G389" s="108"/>
      <c r="H389" s="106"/>
      <c r="I389" s="107"/>
      <c r="J389" s="131" t="str">
        <f aca="false" t="array" ref="J389:J389">IF(A389="","",ifs(AND(D389=1,H389="Pagas prorrateadas"),2705.41*(F389*G389),AND(D389=1,H389="Pagas no prorrateadas"),2318.93*(F389*G389),AND(D389=2,H389="Pagas prorrateadas"),2246.07*(F389*G389),AND(D389=2,H389="Pagas no prorrateadas"),1925.21*(F389*G389),AND(D389=3,H389="Pagas prorrateadas"),1775.44*(F389*G389),AND(D389=3,H389="Pagas no prorrateadas"),1521.81*(F389*G389),AND(D389=5,H389="Pagas prorrateadas"),1535.9*(F389*G389),AND(D389=5,H389="Pagas no prorrateadas"),1316.49*(F389*G389),AND(D389=7,H389="Pagas prorrateadas"),1493.61*(F389*G389),AND(D389=7,H389="Pagas no prorrateadas"),1280.24*(F389*G389)))</f>
        <v/>
      </c>
      <c r="K389" s="106" t="str">
        <f aca="false">IF(A389="","",IF(J389-I389&gt;=0,"OK",J389-I389))</f>
        <v/>
      </c>
    </row>
    <row r="390" customFormat="false" ht="14.25" hidden="false" customHeight="true" outlineLevel="0" collapsed="false">
      <c r="A390" s="106"/>
      <c r="B390" s="106"/>
      <c r="C390" s="107"/>
      <c r="D390" s="106"/>
      <c r="E390" s="106"/>
      <c r="F390" s="130" t="str">
        <f aca="false">IF(A390="","",MIN(E390/(37.5),1))</f>
        <v/>
      </c>
      <c r="G390" s="108"/>
      <c r="H390" s="106"/>
      <c r="I390" s="107"/>
      <c r="J390" s="131" t="str">
        <f aca="false" t="array" ref="J390:J390">IF(A390="","",ifs(AND(D390=1,H390="Pagas prorrateadas"),2705.41*(F390*G390),AND(D390=1,H390="Pagas no prorrateadas"),2318.93*(F390*G390),AND(D390=2,H390="Pagas prorrateadas"),2246.07*(F390*G390),AND(D390=2,H390="Pagas no prorrateadas"),1925.21*(F390*G390),AND(D390=3,H390="Pagas prorrateadas"),1775.44*(F390*G390),AND(D390=3,H390="Pagas no prorrateadas"),1521.81*(F390*G390),AND(D390=5,H390="Pagas prorrateadas"),1535.9*(F390*G390),AND(D390=5,H390="Pagas no prorrateadas"),1316.49*(F390*G390),AND(D390=7,H390="Pagas prorrateadas"),1493.61*(F390*G390),AND(D390=7,H390="Pagas no prorrateadas"),1280.24*(F390*G390)))</f>
        <v/>
      </c>
      <c r="K390" s="106" t="str">
        <f aca="false">IF(A390="","",IF(J390-I390&gt;=0,"OK",J390-I390))</f>
        <v/>
      </c>
    </row>
    <row r="391" customFormat="false" ht="14.25" hidden="false" customHeight="true" outlineLevel="0" collapsed="false">
      <c r="A391" s="106"/>
      <c r="B391" s="106"/>
      <c r="C391" s="107"/>
      <c r="D391" s="106"/>
      <c r="E391" s="106"/>
      <c r="F391" s="130" t="str">
        <f aca="false">IF(A391="","",MIN(E391/(37.5),1))</f>
        <v/>
      </c>
      <c r="G391" s="108"/>
      <c r="H391" s="106"/>
      <c r="I391" s="107"/>
      <c r="J391" s="131" t="str">
        <f aca="false" t="array" ref="J391:J391">IF(A391="","",ifs(AND(D391=1,H391="Pagas prorrateadas"),2705.41*(F391*G391),AND(D391=1,H391="Pagas no prorrateadas"),2318.93*(F391*G391),AND(D391=2,H391="Pagas prorrateadas"),2246.07*(F391*G391),AND(D391=2,H391="Pagas no prorrateadas"),1925.21*(F391*G391),AND(D391=3,H391="Pagas prorrateadas"),1775.44*(F391*G391),AND(D391=3,H391="Pagas no prorrateadas"),1521.81*(F391*G391),AND(D391=5,H391="Pagas prorrateadas"),1535.9*(F391*G391),AND(D391=5,H391="Pagas no prorrateadas"),1316.49*(F391*G391),AND(D391=7,H391="Pagas prorrateadas"),1493.61*(F391*G391),AND(D391=7,H391="Pagas no prorrateadas"),1280.24*(F391*G391)))</f>
        <v/>
      </c>
      <c r="K391" s="106" t="str">
        <f aca="false">IF(A391="","",IF(J391-I391&gt;=0,"OK",J391-I391))</f>
        <v/>
      </c>
    </row>
    <row r="392" customFormat="false" ht="14.25" hidden="false" customHeight="true" outlineLevel="0" collapsed="false">
      <c r="A392" s="106"/>
      <c r="B392" s="106"/>
      <c r="C392" s="107"/>
      <c r="D392" s="106"/>
      <c r="E392" s="106"/>
      <c r="F392" s="130" t="str">
        <f aca="false">IF(A392="","",MIN(E392/(37.5),1))</f>
        <v/>
      </c>
      <c r="G392" s="108"/>
      <c r="H392" s="106"/>
      <c r="I392" s="107"/>
      <c r="J392" s="131" t="str">
        <f aca="false" t="array" ref="J392:J392">IF(A392="","",ifs(AND(D392=1,H392="Pagas prorrateadas"),2705.41*(F392*G392),AND(D392=1,H392="Pagas no prorrateadas"),2318.93*(F392*G392),AND(D392=2,H392="Pagas prorrateadas"),2246.07*(F392*G392),AND(D392=2,H392="Pagas no prorrateadas"),1925.21*(F392*G392),AND(D392=3,H392="Pagas prorrateadas"),1775.44*(F392*G392),AND(D392=3,H392="Pagas no prorrateadas"),1521.81*(F392*G392),AND(D392=5,H392="Pagas prorrateadas"),1535.9*(F392*G392),AND(D392=5,H392="Pagas no prorrateadas"),1316.49*(F392*G392),AND(D392=7,H392="Pagas prorrateadas"),1493.61*(F392*G392),AND(D392=7,H392="Pagas no prorrateadas"),1280.24*(F392*G392)))</f>
        <v/>
      </c>
      <c r="K392" s="106" t="str">
        <f aca="false">IF(A392="","",IF(J392-I392&gt;=0,"OK",J392-I392))</f>
        <v/>
      </c>
    </row>
    <row r="393" customFormat="false" ht="14.25" hidden="false" customHeight="true" outlineLevel="0" collapsed="false">
      <c r="A393" s="106"/>
      <c r="B393" s="106"/>
      <c r="C393" s="107"/>
      <c r="D393" s="106"/>
      <c r="E393" s="106"/>
      <c r="F393" s="130" t="str">
        <f aca="false">IF(A393="","",MIN(E393/(37.5),1))</f>
        <v/>
      </c>
      <c r="G393" s="108"/>
      <c r="H393" s="106"/>
      <c r="I393" s="107"/>
      <c r="J393" s="131" t="str">
        <f aca="false" t="array" ref="J393:J393">IF(A393="","",ifs(AND(D393=1,H393="Pagas prorrateadas"),2705.41*(F393*G393),AND(D393=1,H393="Pagas no prorrateadas"),2318.93*(F393*G393),AND(D393=2,H393="Pagas prorrateadas"),2246.07*(F393*G393),AND(D393=2,H393="Pagas no prorrateadas"),1925.21*(F393*G393),AND(D393=3,H393="Pagas prorrateadas"),1775.44*(F393*G393),AND(D393=3,H393="Pagas no prorrateadas"),1521.81*(F393*G393),AND(D393=5,H393="Pagas prorrateadas"),1535.9*(F393*G393),AND(D393=5,H393="Pagas no prorrateadas"),1316.49*(F393*G393),AND(D393=7,H393="Pagas prorrateadas"),1493.61*(F393*G393),AND(D393=7,H393="Pagas no prorrateadas"),1280.24*(F393*G393)))</f>
        <v/>
      </c>
      <c r="K393" s="106" t="str">
        <f aca="false">IF(A393="","",IF(J393-I393&gt;=0,"OK",J393-I393))</f>
        <v/>
      </c>
    </row>
    <row r="394" customFormat="false" ht="14.25" hidden="false" customHeight="true" outlineLevel="0" collapsed="false">
      <c r="A394" s="106"/>
      <c r="B394" s="106"/>
      <c r="C394" s="107"/>
      <c r="D394" s="106"/>
      <c r="E394" s="106"/>
      <c r="F394" s="130" t="str">
        <f aca="false">IF(A394="","",MIN(E394/(37.5),1))</f>
        <v/>
      </c>
      <c r="G394" s="108"/>
      <c r="H394" s="106"/>
      <c r="I394" s="107"/>
      <c r="J394" s="131" t="str">
        <f aca="false" t="array" ref="J394:J394">IF(A394="","",ifs(AND(D394=1,H394="Pagas prorrateadas"),2705.41*(F394*G394),AND(D394=1,H394="Pagas no prorrateadas"),2318.93*(F394*G394),AND(D394=2,H394="Pagas prorrateadas"),2246.07*(F394*G394),AND(D394=2,H394="Pagas no prorrateadas"),1925.21*(F394*G394),AND(D394=3,H394="Pagas prorrateadas"),1775.44*(F394*G394),AND(D394=3,H394="Pagas no prorrateadas"),1521.81*(F394*G394),AND(D394=5,H394="Pagas prorrateadas"),1535.9*(F394*G394),AND(D394=5,H394="Pagas no prorrateadas"),1316.49*(F394*G394),AND(D394=7,H394="Pagas prorrateadas"),1493.61*(F394*G394),AND(D394=7,H394="Pagas no prorrateadas"),1280.24*(F394*G394)))</f>
        <v/>
      </c>
      <c r="K394" s="106" t="str">
        <f aca="false">IF(A394="","",IF(J394-I394&gt;=0,"OK",J394-I394))</f>
        <v/>
      </c>
    </row>
    <row r="395" customFormat="false" ht="14.25" hidden="false" customHeight="true" outlineLevel="0" collapsed="false">
      <c r="A395" s="106"/>
      <c r="B395" s="106"/>
      <c r="C395" s="107"/>
      <c r="D395" s="106"/>
      <c r="E395" s="106"/>
      <c r="F395" s="130" t="str">
        <f aca="false">IF(A395="","",MIN(E395/(37.5),1))</f>
        <v/>
      </c>
      <c r="G395" s="108"/>
      <c r="H395" s="106"/>
      <c r="I395" s="107"/>
      <c r="J395" s="131" t="str">
        <f aca="false" t="array" ref="J395:J395">IF(A395="","",ifs(AND(D395=1,H395="Pagas prorrateadas"),2705.41*(F395*G395),AND(D395=1,H395="Pagas no prorrateadas"),2318.93*(F395*G395),AND(D395=2,H395="Pagas prorrateadas"),2246.07*(F395*G395),AND(D395=2,H395="Pagas no prorrateadas"),1925.21*(F395*G395),AND(D395=3,H395="Pagas prorrateadas"),1775.44*(F395*G395),AND(D395=3,H395="Pagas no prorrateadas"),1521.81*(F395*G395),AND(D395=5,H395="Pagas prorrateadas"),1535.9*(F395*G395),AND(D395=5,H395="Pagas no prorrateadas"),1316.49*(F395*G395),AND(D395=7,H395="Pagas prorrateadas"),1493.61*(F395*G395),AND(D395=7,H395="Pagas no prorrateadas"),1280.24*(F395*G395)))</f>
        <v/>
      </c>
      <c r="K395" s="106" t="str">
        <f aca="false">IF(A395="","",IF(J395-I395&gt;=0,"OK",J395-I395))</f>
        <v/>
      </c>
    </row>
    <row r="396" customFormat="false" ht="14.25" hidden="false" customHeight="true" outlineLevel="0" collapsed="false">
      <c r="A396" s="106"/>
      <c r="B396" s="106"/>
      <c r="C396" s="107"/>
      <c r="D396" s="106"/>
      <c r="E396" s="106"/>
      <c r="F396" s="130" t="str">
        <f aca="false">IF(A396="","",MIN(E396/(37.5),1))</f>
        <v/>
      </c>
      <c r="G396" s="108"/>
      <c r="H396" s="106"/>
      <c r="I396" s="107"/>
      <c r="J396" s="131" t="str">
        <f aca="false" t="array" ref="J396:J396">IF(A396="","",ifs(AND(D396=1,H396="Pagas prorrateadas"),2705.41*(F396*G396),AND(D396=1,H396="Pagas no prorrateadas"),2318.93*(F396*G396),AND(D396=2,H396="Pagas prorrateadas"),2246.07*(F396*G396),AND(D396=2,H396="Pagas no prorrateadas"),1925.21*(F396*G396),AND(D396=3,H396="Pagas prorrateadas"),1775.44*(F396*G396),AND(D396=3,H396="Pagas no prorrateadas"),1521.81*(F396*G396),AND(D396=5,H396="Pagas prorrateadas"),1535.9*(F396*G396),AND(D396=5,H396="Pagas no prorrateadas"),1316.49*(F396*G396),AND(D396=7,H396="Pagas prorrateadas"),1493.61*(F396*G396),AND(D396=7,H396="Pagas no prorrateadas"),1280.24*(F396*G396)))</f>
        <v/>
      </c>
      <c r="K396" s="106" t="str">
        <f aca="false">IF(A396="","",IF(J396-I396&gt;=0,"OK",J396-I396))</f>
        <v/>
      </c>
    </row>
    <row r="397" customFormat="false" ht="14.25" hidden="false" customHeight="true" outlineLevel="0" collapsed="false">
      <c r="A397" s="106"/>
      <c r="B397" s="106"/>
      <c r="C397" s="107"/>
      <c r="D397" s="106"/>
      <c r="E397" s="106"/>
      <c r="F397" s="130" t="str">
        <f aca="false">IF(A397="","",MIN(E397/(37.5),1))</f>
        <v/>
      </c>
      <c r="G397" s="108"/>
      <c r="H397" s="106"/>
      <c r="I397" s="107"/>
      <c r="J397" s="131" t="str">
        <f aca="false" t="array" ref="J397:J397">IF(A397="","",ifs(AND(D397=1,H397="Pagas prorrateadas"),2705.41*(F397*G397),AND(D397=1,H397="Pagas no prorrateadas"),2318.93*(F397*G397),AND(D397=2,H397="Pagas prorrateadas"),2246.07*(F397*G397),AND(D397=2,H397="Pagas no prorrateadas"),1925.21*(F397*G397),AND(D397=3,H397="Pagas prorrateadas"),1775.44*(F397*G397),AND(D397=3,H397="Pagas no prorrateadas"),1521.81*(F397*G397),AND(D397=5,H397="Pagas prorrateadas"),1535.9*(F397*G397),AND(D397=5,H397="Pagas no prorrateadas"),1316.49*(F397*G397),AND(D397=7,H397="Pagas prorrateadas"),1493.61*(F397*G397),AND(D397=7,H397="Pagas no prorrateadas"),1280.24*(F397*G397)))</f>
        <v/>
      </c>
      <c r="K397" s="106" t="str">
        <f aca="false">IF(A397="","",IF(J397-I397&gt;=0,"OK",J397-I397))</f>
        <v/>
      </c>
    </row>
    <row r="398" customFormat="false" ht="14.25" hidden="false" customHeight="true" outlineLevel="0" collapsed="false">
      <c r="A398" s="106"/>
      <c r="B398" s="106"/>
      <c r="C398" s="107"/>
      <c r="D398" s="106"/>
      <c r="E398" s="106"/>
      <c r="F398" s="130" t="str">
        <f aca="false">IF(A398="","",MIN(E398/(37.5),1))</f>
        <v/>
      </c>
      <c r="G398" s="108"/>
      <c r="H398" s="106"/>
      <c r="I398" s="107"/>
      <c r="J398" s="131" t="str">
        <f aca="false" t="array" ref="J398:J398">IF(A398="","",ifs(AND(D398=1,H398="Pagas prorrateadas"),2705.41*(F398*G398),AND(D398=1,H398="Pagas no prorrateadas"),2318.93*(F398*G398),AND(D398=2,H398="Pagas prorrateadas"),2246.07*(F398*G398),AND(D398=2,H398="Pagas no prorrateadas"),1925.21*(F398*G398),AND(D398=3,H398="Pagas prorrateadas"),1775.44*(F398*G398),AND(D398=3,H398="Pagas no prorrateadas"),1521.81*(F398*G398),AND(D398=5,H398="Pagas prorrateadas"),1535.9*(F398*G398),AND(D398=5,H398="Pagas no prorrateadas"),1316.49*(F398*G398),AND(D398=7,H398="Pagas prorrateadas"),1493.61*(F398*G398),AND(D398=7,H398="Pagas no prorrateadas"),1280.24*(F398*G398)))</f>
        <v/>
      </c>
      <c r="K398" s="106" t="str">
        <f aca="false">IF(A398="","",IF(J398-I398&gt;=0,"OK",J398-I398))</f>
        <v/>
      </c>
    </row>
    <row r="399" customFormat="false" ht="14.25" hidden="false" customHeight="true" outlineLevel="0" collapsed="false">
      <c r="A399" s="106"/>
      <c r="B399" s="106"/>
      <c r="C399" s="107"/>
      <c r="D399" s="106"/>
      <c r="E399" s="106"/>
      <c r="F399" s="130" t="str">
        <f aca="false">IF(A399="","",MIN(E399/(37.5),1))</f>
        <v/>
      </c>
      <c r="G399" s="108"/>
      <c r="H399" s="106"/>
      <c r="I399" s="107"/>
      <c r="J399" s="131" t="str">
        <f aca="false" t="array" ref="J399:J399">IF(A399="","",ifs(AND(D399=1,H399="Pagas prorrateadas"),2705.41*(F399*G399),AND(D399=1,H399="Pagas no prorrateadas"),2318.93*(F399*G399),AND(D399=2,H399="Pagas prorrateadas"),2246.07*(F399*G399),AND(D399=2,H399="Pagas no prorrateadas"),1925.21*(F399*G399),AND(D399=3,H399="Pagas prorrateadas"),1775.44*(F399*G399),AND(D399=3,H399="Pagas no prorrateadas"),1521.81*(F399*G399),AND(D399=5,H399="Pagas prorrateadas"),1535.9*(F399*G399),AND(D399=5,H399="Pagas no prorrateadas"),1316.49*(F399*G399),AND(D399=7,H399="Pagas prorrateadas"),1493.61*(F399*G399),AND(D399=7,H399="Pagas no prorrateadas"),1280.24*(F399*G399)))</f>
        <v/>
      </c>
      <c r="K399" s="106" t="str">
        <f aca="false">IF(A399="","",IF(J399-I399&gt;=0,"OK",J399-I399))</f>
        <v/>
      </c>
    </row>
    <row r="400" customFormat="false" ht="14.25" hidden="false" customHeight="true" outlineLevel="0" collapsed="false">
      <c r="A400" s="106"/>
      <c r="B400" s="106"/>
      <c r="C400" s="107"/>
      <c r="D400" s="106"/>
      <c r="E400" s="106"/>
      <c r="F400" s="130" t="str">
        <f aca="false">IF(A400="","",MIN(E400/(37.5),1))</f>
        <v/>
      </c>
      <c r="G400" s="108"/>
      <c r="H400" s="106"/>
      <c r="I400" s="107"/>
      <c r="J400" s="131" t="str">
        <f aca="false" t="array" ref="J400:J400">IF(A400="","",ifs(AND(D400=1,H400="Pagas prorrateadas"),2705.41*(F400*G400),AND(D400=1,H400="Pagas no prorrateadas"),2318.93*(F400*G400),AND(D400=2,H400="Pagas prorrateadas"),2246.07*(F400*G400),AND(D400=2,H400="Pagas no prorrateadas"),1925.21*(F400*G400),AND(D400=3,H400="Pagas prorrateadas"),1775.44*(F400*G400),AND(D400=3,H400="Pagas no prorrateadas"),1521.81*(F400*G400),AND(D400=5,H400="Pagas prorrateadas"),1535.9*(F400*G400),AND(D400=5,H400="Pagas no prorrateadas"),1316.49*(F400*G400),AND(D400=7,H400="Pagas prorrateadas"),1493.61*(F400*G400),AND(D400=7,H400="Pagas no prorrateadas"),1280.24*(F400*G400)))</f>
        <v/>
      </c>
      <c r="K400" s="106" t="str">
        <f aca="false">IF(A400="","",IF(J400-I400&gt;=0,"OK",J400-I400))</f>
        <v/>
      </c>
    </row>
    <row r="401" customFormat="false" ht="14.25" hidden="false" customHeight="true" outlineLevel="0" collapsed="false">
      <c r="A401" s="106"/>
      <c r="B401" s="106"/>
      <c r="C401" s="107"/>
      <c r="D401" s="106"/>
      <c r="E401" s="106"/>
      <c r="F401" s="130" t="str">
        <f aca="false">IF(A401="","",MIN(E401/(37.5),1))</f>
        <v/>
      </c>
      <c r="G401" s="108"/>
      <c r="H401" s="106"/>
      <c r="I401" s="107"/>
      <c r="J401" s="131" t="str">
        <f aca="false" t="array" ref="J401:J401">IF(A401="","",ifs(AND(D401=1,H401="Pagas prorrateadas"),2705.41*(F401*G401),AND(D401=1,H401="Pagas no prorrateadas"),2318.93*(F401*G401),AND(D401=2,H401="Pagas prorrateadas"),2246.07*(F401*G401),AND(D401=2,H401="Pagas no prorrateadas"),1925.21*(F401*G401),AND(D401=3,H401="Pagas prorrateadas"),1775.44*(F401*G401),AND(D401=3,H401="Pagas no prorrateadas"),1521.81*(F401*G401),AND(D401=5,H401="Pagas prorrateadas"),1535.9*(F401*G401),AND(D401=5,H401="Pagas no prorrateadas"),1316.49*(F401*G401),AND(D401=7,H401="Pagas prorrateadas"),1493.61*(F401*G401),AND(D401=7,H401="Pagas no prorrateadas"),1280.24*(F401*G401)))</f>
        <v/>
      </c>
      <c r="K401" s="106" t="str">
        <f aca="false">IF(A401="","",IF(J401-I401&gt;=0,"OK",J401-I401))</f>
        <v/>
      </c>
    </row>
    <row r="402" customFormat="false" ht="14.25" hidden="false" customHeight="true" outlineLevel="0" collapsed="false">
      <c r="A402" s="106"/>
      <c r="B402" s="106"/>
      <c r="C402" s="107"/>
      <c r="D402" s="106"/>
      <c r="E402" s="106"/>
      <c r="F402" s="130" t="str">
        <f aca="false">IF(A402="","",MIN(E402/(37.5),1))</f>
        <v/>
      </c>
      <c r="G402" s="108"/>
      <c r="H402" s="106"/>
      <c r="I402" s="107"/>
      <c r="J402" s="131" t="str">
        <f aca="false" t="array" ref="J402:J402">IF(A402="","",ifs(AND(D402=1,H402="Pagas prorrateadas"),2705.41*(F402*G402),AND(D402=1,H402="Pagas no prorrateadas"),2318.93*(F402*G402),AND(D402=2,H402="Pagas prorrateadas"),2246.07*(F402*G402),AND(D402=2,H402="Pagas no prorrateadas"),1925.21*(F402*G402),AND(D402=3,H402="Pagas prorrateadas"),1775.44*(F402*G402),AND(D402=3,H402="Pagas no prorrateadas"),1521.81*(F402*G402),AND(D402=5,H402="Pagas prorrateadas"),1535.9*(F402*G402),AND(D402=5,H402="Pagas no prorrateadas"),1316.49*(F402*G402),AND(D402=7,H402="Pagas prorrateadas"),1493.61*(F402*G402),AND(D402=7,H402="Pagas no prorrateadas"),1280.24*(F402*G402)))</f>
        <v/>
      </c>
      <c r="K402" s="106" t="str">
        <f aca="false">IF(A402="","",IF(J402-I402&gt;=0,"OK",J402-I402))</f>
        <v/>
      </c>
    </row>
    <row r="403" customFormat="false" ht="14.25" hidden="false" customHeight="true" outlineLevel="0" collapsed="false">
      <c r="A403" s="106"/>
      <c r="B403" s="106"/>
      <c r="C403" s="107"/>
      <c r="D403" s="106"/>
      <c r="E403" s="106"/>
      <c r="F403" s="130" t="str">
        <f aca="false">IF(A403="","",MIN(E403/(37.5),1))</f>
        <v/>
      </c>
      <c r="G403" s="108"/>
      <c r="H403" s="106"/>
      <c r="I403" s="107"/>
      <c r="J403" s="131" t="str">
        <f aca="false" t="array" ref="J403:J403">IF(A403="","",ifs(AND(D403=1,H403="Pagas prorrateadas"),2705.41*(F403*G403),AND(D403=1,H403="Pagas no prorrateadas"),2318.93*(F403*G403),AND(D403=2,H403="Pagas prorrateadas"),2246.07*(F403*G403),AND(D403=2,H403="Pagas no prorrateadas"),1925.21*(F403*G403),AND(D403=3,H403="Pagas prorrateadas"),1775.44*(F403*G403),AND(D403=3,H403="Pagas no prorrateadas"),1521.81*(F403*G403),AND(D403=5,H403="Pagas prorrateadas"),1535.9*(F403*G403),AND(D403=5,H403="Pagas no prorrateadas"),1316.49*(F403*G403),AND(D403=7,H403="Pagas prorrateadas"),1493.61*(F403*G403),AND(D403=7,H403="Pagas no prorrateadas"),1280.24*(F403*G403)))</f>
        <v/>
      </c>
      <c r="K403" s="106" t="str">
        <f aca="false">IF(A403="","",IF(J403-I403&gt;=0,"OK",J403-I403))</f>
        <v/>
      </c>
    </row>
    <row r="404" customFormat="false" ht="14.25" hidden="false" customHeight="true" outlineLevel="0" collapsed="false">
      <c r="A404" s="106"/>
      <c r="B404" s="106"/>
      <c r="C404" s="107"/>
      <c r="D404" s="106"/>
      <c r="E404" s="106"/>
      <c r="F404" s="130" t="str">
        <f aca="false">IF(A404="","",MIN(E404/(37.5),1))</f>
        <v/>
      </c>
      <c r="G404" s="108"/>
      <c r="H404" s="106"/>
      <c r="I404" s="107"/>
      <c r="J404" s="131" t="str">
        <f aca="false" t="array" ref="J404:J404">IF(A404="","",ifs(AND(D404=1,H404="Pagas prorrateadas"),2705.41*(F404*G404),AND(D404=1,H404="Pagas no prorrateadas"),2318.93*(F404*G404),AND(D404=2,H404="Pagas prorrateadas"),2246.07*(F404*G404),AND(D404=2,H404="Pagas no prorrateadas"),1925.21*(F404*G404),AND(D404=3,H404="Pagas prorrateadas"),1775.44*(F404*G404),AND(D404=3,H404="Pagas no prorrateadas"),1521.81*(F404*G404),AND(D404=5,H404="Pagas prorrateadas"),1535.9*(F404*G404),AND(D404=5,H404="Pagas no prorrateadas"),1316.49*(F404*G404),AND(D404=7,H404="Pagas prorrateadas"),1493.61*(F404*G404),AND(D404=7,H404="Pagas no prorrateadas"),1280.24*(F404*G404)))</f>
        <v/>
      </c>
      <c r="K404" s="106" t="str">
        <f aca="false">IF(A404="","",IF(J404-I404&gt;=0,"OK",J404-I404))</f>
        <v/>
      </c>
    </row>
    <row r="405" customFormat="false" ht="14.25" hidden="false" customHeight="true" outlineLevel="0" collapsed="false">
      <c r="A405" s="106"/>
      <c r="B405" s="106"/>
      <c r="C405" s="107"/>
      <c r="D405" s="106"/>
      <c r="E405" s="106"/>
      <c r="F405" s="130" t="str">
        <f aca="false">IF(A405="","",MIN(E405/(37.5),1))</f>
        <v/>
      </c>
      <c r="G405" s="108"/>
      <c r="H405" s="106"/>
      <c r="I405" s="107"/>
      <c r="J405" s="131" t="str">
        <f aca="false" t="array" ref="J405:J405">IF(A405="","",ifs(AND(D405=1,H405="Pagas prorrateadas"),2705.41*(F405*G405),AND(D405=1,H405="Pagas no prorrateadas"),2318.93*(F405*G405),AND(D405=2,H405="Pagas prorrateadas"),2246.07*(F405*G405),AND(D405=2,H405="Pagas no prorrateadas"),1925.21*(F405*G405),AND(D405=3,H405="Pagas prorrateadas"),1775.44*(F405*G405),AND(D405=3,H405="Pagas no prorrateadas"),1521.81*(F405*G405),AND(D405=5,H405="Pagas prorrateadas"),1535.9*(F405*G405),AND(D405=5,H405="Pagas no prorrateadas"),1316.49*(F405*G405),AND(D405=7,H405="Pagas prorrateadas"),1493.61*(F405*G405),AND(D405=7,H405="Pagas no prorrateadas"),1280.24*(F405*G405)))</f>
        <v/>
      </c>
      <c r="K405" s="106" t="str">
        <f aca="false">IF(A405="","",IF(J405-I405&gt;=0,"OK",J405-I405))</f>
        <v/>
      </c>
    </row>
    <row r="406" customFormat="false" ht="14.25" hidden="false" customHeight="true" outlineLevel="0" collapsed="false">
      <c r="A406" s="106"/>
      <c r="B406" s="106"/>
      <c r="C406" s="107"/>
      <c r="D406" s="106"/>
      <c r="E406" s="106"/>
      <c r="F406" s="130" t="str">
        <f aca="false">IF(A406="","",MIN(E406/(37.5),1))</f>
        <v/>
      </c>
      <c r="G406" s="108"/>
      <c r="H406" s="106"/>
      <c r="I406" s="107"/>
      <c r="J406" s="131" t="str">
        <f aca="false" t="array" ref="J406:J406">IF(A406="","",ifs(AND(D406=1,H406="Pagas prorrateadas"),2705.41*(F406*G406),AND(D406=1,H406="Pagas no prorrateadas"),2318.93*(F406*G406),AND(D406=2,H406="Pagas prorrateadas"),2246.07*(F406*G406),AND(D406=2,H406="Pagas no prorrateadas"),1925.21*(F406*G406),AND(D406=3,H406="Pagas prorrateadas"),1775.44*(F406*G406),AND(D406=3,H406="Pagas no prorrateadas"),1521.81*(F406*G406),AND(D406=5,H406="Pagas prorrateadas"),1535.9*(F406*G406),AND(D406=5,H406="Pagas no prorrateadas"),1316.49*(F406*G406),AND(D406=7,H406="Pagas prorrateadas"),1493.61*(F406*G406),AND(D406=7,H406="Pagas no prorrateadas"),1280.24*(F406*G406)))</f>
        <v/>
      </c>
      <c r="K406" s="106" t="str">
        <f aca="false">IF(A406="","",IF(J406-I406&gt;=0,"OK",J406-I406))</f>
        <v/>
      </c>
    </row>
    <row r="407" customFormat="false" ht="14.25" hidden="false" customHeight="true" outlineLevel="0" collapsed="false">
      <c r="A407" s="106"/>
      <c r="B407" s="106"/>
      <c r="C407" s="107"/>
      <c r="D407" s="106"/>
      <c r="E407" s="106"/>
      <c r="F407" s="130" t="str">
        <f aca="false">IF(A407="","",MIN(E407/(37.5),1))</f>
        <v/>
      </c>
      <c r="G407" s="108"/>
      <c r="H407" s="106"/>
      <c r="I407" s="107"/>
      <c r="J407" s="131" t="str">
        <f aca="false" t="array" ref="J407:J407">IF(A407="","",ifs(AND(D407=1,H407="Pagas prorrateadas"),2705.41*(F407*G407),AND(D407=1,H407="Pagas no prorrateadas"),2318.93*(F407*G407),AND(D407=2,H407="Pagas prorrateadas"),2246.07*(F407*G407),AND(D407=2,H407="Pagas no prorrateadas"),1925.21*(F407*G407),AND(D407=3,H407="Pagas prorrateadas"),1775.44*(F407*G407),AND(D407=3,H407="Pagas no prorrateadas"),1521.81*(F407*G407),AND(D407=5,H407="Pagas prorrateadas"),1535.9*(F407*G407),AND(D407=5,H407="Pagas no prorrateadas"),1316.49*(F407*G407),AND(D407=7,H407="Pagas prorrateadas"),1493.61*(F407*G407),AND(D407=7,H407="Pagas no prorrateadas"),1280.24*(F407*G407)))</f>
        <v/>
      </c>
      <c r="K407" s="106" t="str">
        <f aca="false">IF(A407="","",IF(J407-I407&gt;=0,"OK",J407-I407))</f>
        <v/>
      </c>
    </row>
    <row r="408" customFormat="false" ht="14.25" hidden="false" customHeight="true" outlineLevel="0" collapsed="false">
      <c r="A408" s="106"/>
      <c r="B408" s="106"/>
      <c r="C408" s="107"/>
      <c r="D408" s="106"/>
      <c r="E408" s="106"/>
      <c r="F408" s="130" t="str">
        <f aca="false">IF(A408="","",MIN(E408/(37.5),1))</f>
        <v/>
      </c>
      <c r="G408" s="108"/>
      <c r="H408" s="106"/>
      <c r="I408" s="107"/>
      <c r="J408" s="131" t="str">
        <f aca="false" t="array" ref="J408:J408">IF(A408="","",ifs(AND(D408=1,H408="Pagas prorrateadas"),2705.41*(F408*G408),AND(D408=1,H408="Pagas no prorrateadas"),2318.93*(F408*G408),AND(D408=2,H408="Pagas prorrateadas"),2246.07*(F408*G408),AND(D408=2,H408="Pagas no prorrateadas"),1925.21*(F408*G408),AND(D408=3,H408="Pagas prorrateadas"),1775.44*(F408*G408),AND(D408=3,H408="Pagas no prorrateadas"),1521.81*(F408*G408),AND(D408=5,H408="Pagas prorrateadas"),1535.9*(F408*G408),AND(D408=5,H408="Pagas no prorrateadas"),1316.49*(F408*G408),AND(D408=7,H408="Pagas prorrateadas"),1493.61*(F408*G408),AND(D408=7,H408="Pagas no prorrateadas"),1280.24*(F408*G408)))</f>
        <v/>
      </c>
      <c r="K408" s="106" t="str">
        <f aca="false">IF(A408="","",IF(J408-I408&gt;=0,"OK",J408-I408))</f>
        <v/>
      </c>
    </row>
    <row r="409" customFormat="false" ht="14.25" hidden="false" customHeight="true" outlineLevel="0" collapsed="false">
      <c r="A409" s="106"/>
      <c r="B409" s="106"/>
      <c r="C409" s="107"/>
      <c r="D409" s="106"/>
      <c r="E409" s="106"/>
      <c r="F409" s="130" t="str">
        <f aca="false">IF(A409="","",MIN(E409/(37.5),1))</f>
        <v/>
      </c>
      <c r="G409" s="108"/>
      <c r="H409" s="106"/>
      <c r="I409" s="107"/>
      <c r="J409" s="131" t="str">
        <f aca="false" t="array" ref="J409:J409">IF(A409="","",ifs(AND(D409=1,H409="Pagas prorrateadas"),2705.41*(F409*G409),AND(D409=1,H409="Pagas no prorrateadas"),2318.93*(F409*G409),AND(D409=2,H409="Pagas prorrateadas"),2246.07*(F409*G409),AND(D409=2,H409="Pagas no prorrateadas"),1925.21*(F409*G409),AND(D409=3,H409="Pagas prorrateadas"),1775.44*(F409*G409),AND(D409=3,H409="Pagas no prorrateadas"),1521.81*(F409*G409),AND(D409=5,H409="Pagas prorrateadas"),1535.9*(F409*G409),AND(D409=5,H409="Pagas no prorrateadas"),1316.49*(F409*G409),AND(D409=7,H409="Pagas prorrateadas"),1493.61*(F409*G409),AND(D409=7,H409="Pagas no prorrateadas"),1280.24*(F409*G409)))</f>
        <v/>
      </c>
      <c r="K409" s="106" t="str">
        <f aca="false">IF(A409="","",IF(J409-I409&gt;=0,"OK",J409-I409))</f>
        <v/>
      </c>
    </row>
    <row r="410" customFormat="false" ht="14.25" hidden="false" customHeight="true" outlineLevel="0" collapsed="false">
      <c r="A410" s="106"/>
      <c r="B410" s="106"/>
      <c r="C410" s="107"/>
      <c r="D410" s="106"/>
      <c r="E410" s="106"/>
      <c r="F410" s="130" t="str">
        <f aca="false">IF(A410="","",MIN(E410/(37.5),1))</f>
        <v/>
      </c>
      <c r="G410" s="108"/>
      <c r="H410" s="106"/>
      <c r="I410" s="107"/>
      <c r="J410" s="131" t="str">
        <f aca="false" t="array" ref="J410:J410">IF(A410="","",ifs(AND(D410=1,H410="Pagas prorrateadas"),2705.41*(F410*G410),AND(D410=1,H410="Pagas no prorrateadas"),2318.93*(F410*G410),AND(D410=2,H410="Pagas prorrateadas"),2246.07*(F410*G410),AND(D410=2,H410="Pagas no prorrateadas"),1925.21*(F410*G410),AND(D410=3,H410="Pagas prorrateadas"),1775.44*(F410*G410),AND(D410=3,H410="Pagas no prorrateadas"),1521.81*(F410*G410),AND(D410=5,H410="Pagas prorrateadas"),1535.9*(F410*G410),AND(D410=5,H410="Pagas no prorrateadas"),1316.49*(F410*G410),AND(D410=7,H410="Pagas prorrateadas"),1493.61*(F410*G410),AND(D410=7,H410="Pagas no prorrateadas"),1280.24*(F410*G410)))</f>
        <v/>
      </c>
      <c r="K410" s="106" t="str">
        <f aca="false">IF(A410="","",IF(J410-I410&gt;=0,"OK",J410-I410))</f>
        <v/>
      </c>
    </row>
    <row r="411" customFormat="false" ht="14.25" hidden="false" customHeight="true" outlineLevel="0" collapsed="false">
      <c r="A411" s="106"/>
      <c r="B411" s="106"/>
      <c r="C411" s="107"/>
      <c r="D411" s="106"/>
      <c r="E411" s="106"/>
      <c r="F411" s="130" t="str">
        <f aca="false">IF(A411="","",MIN(E411/(37.5),1))</f>
        <v/>
      </c>
      <c r="G411" s="108"/>
      <c r="H411" s="106"/>
      <c r="I411" s="107"/>
      <c r="J411" s="131" t="str">
        <f aca="false" t="array" ref="J411:J411">IF(A411="","",ifs(AND(D411=1,H411="Pagas prorrateadas"),2705.41*(F411*G411),AND(D411=1,H411="Pagas no prorrateadas"),2318.93*(F411*G411),AND(D411=2,H411="Pagas prorrateadas"),2246.07*(F411*G411),AND(D411=2,H411="Pagas no prorrateadas"),1925.21*(F411*G411),AND(D411=3,H411="Pagas prorrateadas"),1775.44*(F411*G411),AND(D411=3,H411="Pagas no prorrateadas"),1521.81*(F411*G411),AND(D411=5,H411="Pagas prorrateadas"),1535.9*(F411*G411),AND(D411=5,H411="Pagas no prorrateadas"),1316.49*(F411*G411),AND(D411=7,H411="Pagas prorrateadas"),1493.61*(F411*G411),AND(D411=7,H411="Pagas no prorrateadas"),1280.24*(F411*G411)))</f>
        <v/>
      </c>
      <c r="K411" s="106" t="str">
        <f aca="false">IF(A411="","",IF(J411-I411&gt;=0,"OK",J411-I411))</f>
        <v/>
      </c>
    </row>
    <row r="412" customFormat="false" ht="14.25" hidden="false" customHeight="true" outlineLevel="0" collapsed="false">
      <c r="A412" s="106"/>
      <c r="B412" s="106"/>
      <c r="C412" s="107"/>
      <c r="D412" s="106"/>
      <c r="E412" s="106"/>
      <c r="F412" s="130" t="str">
        <f aca="false">IF(A412="","",MIN(E412/(37.5),1))</f>
        <v/>
      </c>
      <c r="G412" s="108"/>
      <c r="H412" s="106"/>
      <c r="I412" s="107"/>
      <c r="J412" s="131" t="str">
        <f aca="false" t="array" ref="J412:J412">IF(A412="","",ifs(AND(D412=1,H412="Pagas prorrateadas"),2705.41*(F412*G412),AND(D412=1,H412="Pagas no prorrateadas"),2318.93*(F412*G412),AND(D412=2,H412="Pagas prorrateadas"),2246.07*(F412*G412),AND(D412=2,H412="Pagas no prorrateadas"),1925.21*(F412*G412),AND(D412=3,H412="Pagas prorrateadas"),1775.44*(F412*G412),AND(D412=3,H412="Pagas no prorrateadas"),1521.81*(F412*G412),AND(D412=5,H412="Pagas prorrateadas"),1535.9*(F412*G412),AND(D412=5,H412="Pagas no prorrateadas"),1316.49*(F412*G412),AND(D412=7,H412="Pagas prorrateadas"),1493.61*(F412*G412),AND(D412=7,H412="Pagas no prorrateadas"),1280.24*(F412*G412)))</f>
        <v/>
      </c>
      <c r="K412" s="106" t="str">
        <f aca="false">IF(A412="","",IF(J412-I412&gt;=0,"OK",J412-I412))</f>
        <v/>
      </c>
    </row>
    <row r="413" customFormat="false" ht="14.25" hidden="false" customHeight="true" outlineLevel="0" collapsed="false">
      <c r="A413" s="106"/>
      <c r="B413" s="106"/>
      <c r="C413" s="107"/>
      <c r="D413" s="106"/>
      <c r="E413" s="106"/>
      <c r="F413" s="130" t="str">
        <f aca="false">IF(A413="","",MIN(E413/(37.5),1))</f>
        <v/>
      </c>
      <c r="G413" s="108"/>
      <c r="H413" s="106"/>
      <c r="I413" s="107"/>
      <c r="J413" s="131" t="str">
        <f aca="false" t="array" ref="J413:J413">IF(A413="","",ifs(AND(D413=1,H413="Pagas prorrateadas"),2705.41*(F413*G413),AND(D413=1,H413="Pagas no prorrateadas"),2318.93*(F413*G413),AND(D413=2,H413="Pagas prorrateadas"),2246.07*(F413*G413),AND(D413=2,H413="Pagas no prorrateadas"),1925.21*(F413*G413),AND(D413=3,H413="Pagas prorrateadas"),1775.44*(F413*G413),AND(D413=3,H413="Pagas no prorrateadas"),1521.81*(F413*G413),AND(D413=5,H413="Pagas prorrateadas"),1535.9*(F413*G413),AND(D413=5,H413="Pagas no prorrateadas"),1316.49*(F413*G413),AND(D413=7,H413="Pagas prorrateadas"),1493.61*(F413*G413),AND(D413=7,H413="Pagas no prorrateadas"),1280.24*(F413*G413)))</f>
        <v/>
      </c>
      <c r="K413" s="106" t="str">
        <f aca="false">IF(A413="","",IF(J413-I413&gt;=0,"OK",J413-I413))</f>
        <v/>
      </c>
    </row>
    <row r="414" customFormat="false" ht="14.25" hidden="false" customHeight="true" outlineLevel="0" collapsed="false">
      <c r="A414" s="106"/>
      <c r="B414" s="106"/>
      <c r="C414" s="107"/>
      <c r="D414" s="106"/>
      <c r="E414" s="106"/>
      <c r="F414" s="130" t="str">
        <f aca="false">IF(A414="","",MIN(E414/(37.5),1))</f>
        <v/>
      </c>
      <c r="G414" s="108"/>
      <c r="H414" s="106"/>
      <c r="I414" s="107"/>
      <c r="J414" s="131" t="str">
        <f aca="false" t="array" ref="J414:J414">IF(A414="","",ifs(AND(D414=1,H414="Pagas prorrateadas"),2705.41*(F414*G414),AND(D414=1,H414="Pagas no prorrateadas"),2318.93*(F414*G414),AND(D414=2,H414="Pagas prorrateadas"),2246.07*(F414*G414),AND(D414=2,H414="Pagas no prorrateadas"),1925.21*(F414*G414),AND(D414=3,H414="Pagas prorrateadas"),1775.44*(F414*G414),AND(D414=3,H414="Pagas no prorrateadas"),1521.81*(F414*G414),AND(D414=5,H414="Pagas prorrateadas"),1535.9*(F414*G414),AND(D414=5,H414="Pagas no prorrateadas"),1316.49*(F414*G414),AND(D414=7,H414="Pagas prorrateadas"),1493.61*(F414*G414),AND(D414=7,H414="Pagas no prorrateadas"),1280.24*(F414*G414)))</f>
        <v/>
      </c>
      <c r="K414" s="106" t="str">
        <f aca="false">IF(A414="","",IF(J414-I414&gt;=0,"OK",J414-I414))</f>
        <v/>
      </c>
    </row>
    <row r="415" customFormat="false" ht="14.25" hidden="false" customHeight="true" outlineLevel="0" collapsed="false">
      <c r="A415" s="106"/>
      <c r="B415" s="106"/>
      <c r="C415" s="107"/>
      <c r="D415" s="106"/>
      <c r="E415" s="106"/>
      <c r="F415" s="130" t="str">
        <f aca="false">IF(A415="","",MIN(E415/(37.5),1))</f>
        <v/>
      </c>
      <c r="G415" s="108"/>
      <c r="H415" s="106"/>
      <c r="I415" s="107"/>
      <c r="J415" s="131" t="str">
        <f aca="false" t="array" ref="J415:J415">IF(A415="","",ifs(AND(D415=1,H415="Pagas prorrateadas"),2705.41*(F415*G415),AND(D415=1,H415="Pagas no prorrateadas"),2318.93*(F415*G415),AND(D415=2,H415="Pagas prorrateadas"),2246.07*(F415*G415),AND(D415=2,H415="Pagas no prorrateadas"),1925.21*(F415*G415),AND(D415=3,H415="Pagas prorrateadas"),1775.44*(F415*G415),AND(D415=3,H415="Pagas no prorrateadas"),1521.81*(F415*G415),AND(D415=5,H415="Pagas prorrateadas"),1535.9*(F415*G415),AND(D415=5,H415="Pagas no prorrateadas"),1316.49*(F415*G415),AND(D415=7,H415="Pagas prorrateadas"),1493.61*(F415*G415),AND(D415=7,H415="Pagas no prorrateadas"),1280.24*(F415*G415)))</f>
        <v/>
      </c>
      <c r="K415" s="106" t="str">
        <f aca="false">IF(A415="","",IF(J415-I415&gt;=0,"OK",J415-I415))</f>
        <v/>
      </c>
    </row>
    <row r="416" customFormat="false" ht="14.25" hidden="false" customHeight="true" outlineLevel="0" collapsed="false">
      <c r="A416" s="106"/>
      <c r="B416" s="106"/>
      <c r="C416" s="107"/>
      <c r="D416" s="106"/>
      <c r="E416" s="106"/>
      <c r="F416" s="130" t="str">
        <f aca="false">IF(A416="","",MIN(E416/(37.5),1))</f>
        <v/>
      </c>
      <c r="G416" s="108"/>
      <c r="H416" s="106"/>
      <c r="I416" s="107"/>
      <c r="J416" s="131" t="str">
        <f aca="false" t="array" ref="J416:J416">IF(A416="","",ifs(AND(D416=1,H416="Pagas prorrateadas"),2705.41*(F416*G416),AND(D416=1,H416="Pagas no prorrateadas"),2318.93*(F416*G416),AND(D416=2,H416="Pagas prorrateadas"),2246.07*(F416*G416),AND(D416=2,H416="Pagas no prorrateadas"),1925.21*(F416*G416),AND(D416=3,H416="Pagas prorrateadas"),1775.44*(F416*G416),AND(D416=3,H416="Pagas no prorrateadas"),1521.81*(F416*G416),AND(D416=5,H416="Pagas prorrateadas"),1535.9*(F416*G416),AND(D416=5,H416="Pagas no prorrateadas"),1316.49*(F416*G416),AND(D416=7,H416="Pagas prorrateadas"),1493.61*(F416*G416),AND(D416=7,H416="Pagas no prorrateadas"),1280.24*(F416*G416)))</f>
        <v/>
      </c>
      <c r="K416" s="106" t="str">
        <f aca="false">IF(A416="","",IF(J416-I416&gt;=0,"OK",J416-I416))</f>
        <v/>
      </c>
    </row>
    <row r="417" customFormat="false" ht="14.25" hidden="false" customHeight="true" outlineLevel="0" collapsed="false">
      <c r="A417" s="106"/>
      <c r="B417" s="106"/>
      <c r="C417" s="107"/>
      <c r="D417" s="106"/>
      <c r="E417" s="106"/>
      <c r="F417" s="130" t="str">
        <f aca="false">IF(A417="","",MIN(E417/(37.5),1))</f>
        <v/>
      </c>
      <c r="G417" s="108"/>
      <c r="H417" s="106"/>
      <c r="I417" s="107"/>
      <c r="J417" s="131" t="str">
        <f aca="false" t="array" ref="J417:J417">IF(A417="","",ifs(AND(D417=1,H417="Pagas prorrateadas"),2705.41*(F417*G417),AND(D417=1,H417="Pagas no prorrateadas"),2318.93*(F417*G417),AND(D417=2,H417="Pagas prorrateadas"),2246.07*(F417*G417),AND(D417=2,H417="Pagas no prorrateadas"),1925.21*(F417*G417),AND(D417=3,H417="Pagas prorrateadas"),1775.44*(F417*G417),AND(D417=3,H417="Pagas no prorrateadas"),1521.81*(F417*G417),AND(D417=5,H417="Pagas prorrateadas"),1535.9*(F417*G417),AND(D417=5,H417="Pagas no prorrateadas"),1316.49*(F417*G417),AND(D417=7,H417="Pagas prorrateadas"),1493.61*(F417*G417),AND(D417=7,H417="Pagas no prorrateadas"),1280.24*(F417*G417)))</f>
        <v/>
      </c>
      <c r="K417" s="106" t="str">
        <f aca="false">IF(A417="","",IF(J417-I417&gt;=0,"OK",J417-I417))</f>
        <v/>
      </c>
    </row>
    <row r="418" customFormat="false" ht="14.25" hidden="false" customHeight="true" outlineLevel="0" collapsed="false">
      <c r="A418" s="106"/>
      <c r="B418" s="106"/>
      <c r="C418" s="107"/>
      <c r="D418" s="106"/>
      <c r="E418" s="106"/>
      <c r="F418" s="130" t="str">
        <f aca="false">IF(A418="","",MIN(E418/(37.5),1))</f>
        <v/>
      </c>
      <c r="G418" s="108"/>
      <c r="H418" s="106"/>
      <c r="I418" s="107"/>
      <c r="J418" s="131" t="str">
        <f aca="false" t="array" ref="J418:J418">IF(A418="","",ifs(AND(D418=1,H418="Pagas prorrateadas"),2705.41*(F418*G418),AND(D418=1,H418="Pagas no prorrateadas"),2318.93*(F418*G418),AND(D418=2,H418="Pagas prorrateadas"),2246.07*(F418*G418),AND(D418=2,H418="Pagas no prorrateadas"),1925.21*(F418*G418),AND(D418=3,H418="Pagas prorrateadas"),1775.44*(F418*G418),AND(D418=3,H418="Pagas no prorrateadas"),1521.81*(F418*G418),AND(D418=5,H418="Pagas prorrateadas"),1535.9*(F418*G418),AND(D418=5,H418="Pagas no prorrateadas"),1316.49*(F418*G418),AND(D418=7,H418="Pagas prorrateadas"),1493.61*(F418*G418),AND(D418=7,H418="Pagas no prorrateadas"),1280.24*(F418*G418)))</f>
        <v/>
      </c>
      <c r="K418" s="106" t="str">
        <f aca="false">IF(A418="","",IF(J418-I418&gt;=0,"OK",J418-I418))</f>
        <v/>
      </c>
    </row>
    <row r="419" customFormat="false" ht="14.25" hidden="false" customHeight="true" outlineLevel="0" collapsed="false">
      <c r="A419" s="106"/>
      <c r="B419" s="106"/>
      <c r="C419" s="107"/>
      <c r="D419" s="106"/>
      <c r="E419" s="106"/>
      <c r="F419" s="130" t="str">
        <f aca="false">IF(A419="","",MIN(E419/(37.5),1))</f>
        <v/>
      </c>
      <c r="G419" s="108"/>
      <c r="H419" s="106"/>
      <c r="I419" s="107"/>
      <c r="J419" s="131" t="str">
        <f aca="false" t="array" ref="J419:J419">IF(A419="","",ifs(AND(D419=1,H419="Pagas prorrateadas"),2705.41*(F419*G419),AND(D419=1,H419="Pagas no prorrateadas"),2318.93*(F419*G419),AND(D419=2,H419="Pagas prorrateadas"),2246.07*(F419*G419),AND(D419=2,H419="Pagas no prorrateadas"),1925.21*(F419*G419),AND(D419=3,H419="Pagas prorrateadas"),1775.44*(F419*G419),AND(D419=3,H419="Pagas no prorrateadas"),1521.81*(F419*G419),AND(D419=5,H419="Pagas prorrateadas"),1535.9*(F419*G419),AND(D419=5,H419="Pagas no prorrateadas"),1316.49*(F419*G419),AND(D419=7,H419="Pagas prorrateadas"),1493.61*(F419*G419),AND(D419=7,H419="Pagas no prorrateadas"),1280.24*(F419*G419)))</f>
        <v/>
      </c>
      <c r="K419" s="106" t="str">
        <f aca="false">IF(A419="","",IF(J419-I419&gt;=0,"OK",J419-I419))</f>
        <v/>
      </c>
    </row>
    <row r="420" customFormat="false" ht="14.25" hidden="false" customHeight="true" outlineLevel="0" collapsed="false">
      <c r="A420" s="106"/>
      <c r="B420" s="106"/>
      <c r="C420" s="107"/>
      <c r="D420" s="106"/>
      <c r="E420" s="106"/>
      <c r="F420" s="130" t="str">
        <f aca="false">IF(A420="","",MIN(E420/(37.5),1))</f>
        <v/>
      </c>
      <c r="G420" s="108"/>
      <c r="H420" s="106"/>
      <c r="I420" s="107"/>
      <c r="J420" s="131" t="str">
        <f aca="false" t="array" ref="J420:J420">IF(A420="","",ifs(AND(D420=1,H420="Pagas prorrateadas"),2705.41*(F420*G420),AND(D420=1,H420="Pagas no prorrateadas"),2318.93*(F420*G420),AND(D420=2,H420="Pagas prorrateadas"),2246.07*(F420*G420),AND(D420=2,H420="Pagas no prorrateadas"),1925.21*(F420*G420),AND(D420=3,H420="Pagas prorrateadas"),1775.44*(F420*G420),AND(D420=3,H420="Pagas no prorrateadas"),1521.81*(F420*G420),AND(D420=5,H420="Pagas prorrateadas"),1535.9*(F420*G420),AND(D420=5,H420="Pagas no prorrateadas"),1316.49*(F420*G420),AND(D420=7,H420="Pagas prorrateadas"),1493.61*(F420*G420),AND(D420=7,H420="Pagas no prorrateadas"),1280.24*(F420*G420)))</f>
        <v/>
      </c>
      <c r="K420" s="106" t="str">
        <f aca="false">IF(A420="","",IF(J420-I420&gt;=0,"OK",J420-I420))</f>
        <v/>
      </c>
    </row>
    <row r="421" customFormat="false" ht="14.25" hidden="false" customHeight="true" outlineLevel="0" collapsed="false">
      <c r="A421" s="106"/>
      <c r="B421" s="106"/>
      <c r="C421" s="107"/>
      <c r="D421" s="106"/>
      <c r="E421" s="106"/>
      <c r="F421" s="130" t="str">
        <f aca="false">IF(A421="","",MIN(E421/(37.5),1))</f>
        <v/>
      </c>
      <c r="G421" s="108"/>
      <c r="H421" s="106"/>
      <c r="I421" s="107"/>
      <c r="J421" s="131" t="str">
        <f aca="false" t="array" ref="J421:J421">IF(A421="","",ifs(AND(D421=1,H421="Pagas prorrateadas"),2705.41*(F421*G421),AND(D421=1,H421="Pagas no prorrateadas"),2318.93*(F421*G421),AND(D421=2,H421="Pagas prorrateadas"),2246.07*(F421*G421),AND(D421=2,H421="Pagas no prorrateadas"),1925.21*(F421*G421),AND(D421=3,H421="Pagas prorrateadas"),1775.44*(F421*G421),AND(D421=3,H421="Pagas no prorrateadas"),1521.81*(F421*G421),AND(D421=5,H421="Pagas prorrateadas"),1535.9*(F421*G421),AND(D421=5,H421="Pagas no prorrateadas"),1316.49*(F421*G421),AND(D421=7,H421="Pagas prorrateadas"),1493.61*(F421*G421),AND(D421=7,H421="Pagas no prorrateadas"),1280.24*(F421*G421)))</f>
        <v/>
      </c>
      <c r="K421" s="106" t="str">
        <f aca="false">IF(A421="","",IF(J421-I421&gt;=0,"OK",J421-I421))</f>
        <v/>
      </c>
    </row>
    <row r="422" customFormat="false" ht="14.25" hidden="false" customHeight="true" outlineLevel="0" collapsed="false">
      <c r="A422" s="106"/>
      <c r="B422" s="106"/>
      <c r="C422" s="107"/>
      <c r="D422" s="106"/>
      <c r="E422" s="106"/>
      <c r="F422" s="130" t="str">
        <f aca="false">IF(A422="","",MIN(E422/(37.5),1))</f>
        <v/>
      </c>
      <c r="G422" s="108"/>
      <c r="H422" s="106"/>
      <c r="I422" s="107"/>
      <c r="J422" s="131" t="str">
        <f aca="false" t="array" ref="J422:J422">IF(A422="","",ifs(AND(D422=1,H422="Pagas prorrateadas"),2705.41*(F422*G422),AND(D422=1,H422="Pagas no prorrateadas"),2318.93*(F422*G422),AND(D422=2,H422="Pagas prorrateadas"),2246.07*(F422*G422),AND(D422=2,H422="Pagas no prorrateadas"),1925.21*(F422*G422),AND(D422=3,H422="Pagas prorrateadas"),1775.44*(F422*G422),AND(D422=3,H422="Pagas no prorrateadas"),1521.81*(F422*G422),AND(D422=5,H422="Pagas prorrateadas"),1535.9*(F422*G422),AND(D422=5,H422="Pagas no prorrateadas"),1316.49*(F422*G422),AND(D422=7,H422="Pagas prorrateadas"),1493.61*(F422*G422),AND(D422=7,H422="Pagas no prorrateadas"),1280.24*(F422*G422)))</f>
        <v/>
      </c>
      <c r="K422" s="106" t="str">
        <f aca="false">IF(A422="","",IF(J422-I422&gt;=0,"OK",J422-I422))</f>
        <v/>
      </c>
    </row>
    <row r="423" customFormat="false" ht="14.25" hidden="false" customHeight="true" outlineLevel="0" collapsed="false">
      <c r="A423" s="106"/>
      <c r="B423" s="106"/>
      <c r="C423" s="107"/>
      <c r="D423" s="106"/>
      <c r="E423" s="106"/>
      <c r="F423" s="130" t="str">
        <f aca="false">IF(A423="","",MIN(E423/(37.5),1))</f>
        <v/>
      </c>
      <c r="G423" s="108"/>
      <c r="H423" s="106"/>
      <c r="I423" s="107"/>
      <c r="J423" s="131" t="str">
        <f aca="false" t="array" ref="J423:J423">IF(A423="","",ifs(AND(D423=1,H423="Pagas prorrateadas"),2705.41*(F423*G423),AND(D423=1,H423="Pagas no prorrateadas"),2318.93*(F423*G423),AND(D423=2,H423="Pagas prorrateadas"),2246.07*(F423*G423),AND(D423=2,H423="Pagas no prorrateadas"),1925.21*(F423*G423),AND(D423=3,H423="Pagas prorrateadas"),1775.44*(F423*G423),AND(D423=3,H423="Pagas no prorrateadas"),1521.81*(F423*G423),AND(D423=5,H423="Pagas prorrateadas"),1535.9*(F423*G423),AND(D423=5,H423="Pagas no prorrateadas"),1316.49*(F423*G423),AND(D423=7,H423="Pagas prorrateadas"),1493.61*(F423*G423),AND(D423=7,H423="Pagas no prorrateadas"),1280.24*(F423*G423)))</f>
        <v/>
      </c>
      <c r="K423" s="106" t="str">
        <f aca="false">IF(A423="","",IF(J423-I423&gt;=0,"OK",J423-I423))</f>
        <v/>
      </c>
    </row>
    <row r="424" customFormat="false" ht="14.25" hidden="false" customHeight="true" outlineLevel="0" collapsed="false">
      <c r="A424" s="106"/>
      <c r="B424" s="106"/>
      <c r="C424" s="107"/>
      <c r="D424" s="106"/>
      <c r="E424" s="106"/>
      <c r="F424" s="130" t="str">
        <f aca="false">IF(A424="","",MIN(E424/(37.5),1))</f>
        <v/>
      </c>
      <c r="G424" s="108"/>
      <c r="H424" s="106"/>
      <c r="I424" s="107"/>
      <c r="J424" s="131" t="str">
        <f aca="false" t="array" ref="J424:J424">IF(A424="","",ifs(AND(D424=1,H424="Pagas prorrateadas"),2705.41*(F424*G424),AND(D424=1,H424="Pagas no prorrateadas"),2318.93*(F424*G424),AND(D424=2,H424="Pagas prorrateadas"),2246.07*(F424*G424),AND(D424=2,H424="Pagas no prorrateadas"),1925.21*(F424*G424),AND(D424=3,H424="Pagas prorrateadas"),1775.44*(F424*G424),AND(D424=3,H424="Pagas no prorrateadas"),1521.81*(F424*G424),AND(D424=5,H424="Pagas prorrateadas"),1535.9*(F424*G424),AND(D424=5,H424="Pagas no prorrateadas"),1316.49*(F424*G424),AND(D424=7,H424="Pagas prorrateadas"),1493.61*(F424*G424),AND(D424=7,H424="Pagas no prorrateadas"),1280.24*(F424*G424)))</f>
        <v/>
      </c>
      <c r="K424" s="106" t="str">
        <f aca="false">IF(A424="","",IF(J424-I424&gt;=0,"OK",J424-I424))</f>
        <v/>
      </c>
    </row>
    <row r="425" customFormat="false" ht="14.25" hidden="false" customHeight="true" outlineLevel="0" collapsed="false">
      <c r="A425" s="106"/>
      <c r="B425" s="106"/>
      <c r="C425" s="107"/>
      <c r="D425" s="106"/>
      <c r="E425" s="106"/>
      <c r="F425" s="130" t="str">
        <f aca="false">IF(A425="","",MIN(E425/(37.5),1))</f>
        <v/>
      </c>
      <c r="G425" s="108"/>
      <c r="H425" s="106"/>
      <c r="I425" s="107"/>
      <c r="J425" s="131" t="str">
        <f aca="false" t="array" ref="J425:J425">IF(A425="","",ifs(AND(D425=1,H425="Pagas prorrateadas"),2705.41*(F425*G425),AND(D425=1,H425="Pagas no prorrateadas"),2318.93*(F425*G425),AND(D425=2,H425="Pagas prorrateadas"),2246.07*(F425*G425),AND(D425=2,H425="Pagas no prorrateadas"),1925.21*(F425*G425),AND(D425=3,H425="Pagas prorrateadas"),1775.44*(F425*G425),AND(D425=3,H425="Pagas no prorrateadas"),1521.81*(F425*G425),AND(D425=5,H425="Pagas prorrateadas"),1535.9*(F425*G425),AND(D425=5,H425="Pagas no prorrateadas"),1316.49*(F425*G425),AND(D425=7,H425="Pagas prorrateadas"),1493.61*(F425*G425),AND(D425=7,H425="Pagas no prorrateadas"),1280.24*(F425*G425)))</f>
        <v/>
      </c>
      <c r="K425" s="106" t="str">
        <f aca="false">IF(A425="","",IF(J425-I425&gt;=0,"OK",J425-I425))</f>
        <v/>
      </c>
    </row>
    <row r="426" customFormat="false" ht="14.25" hidden="false" customHeight="true" outlineLevel="0" collapsed="false">
      <c r="A426" s="106"/>
      <c r="B426" s="106"/>
      <c r="C426" s="107"/>
      <c r="D426" s="106"/>
      <c r="E426" s="106"/>
      <c r="F426" s="130" t="str">
        <f aca="false">IF(A426="","",MIN(E426/(37.5),1))</f>
        <v/>
      </c>
      <c r="G426" s="108"/>
      <c r="H426" s="106"/>
      <c r="I426" s="107"/>
      <c r="J426" s="131" t="str">
        <f aca="false" t="array" ref="J426:J426">IF(A426="","",ifs(AND(D426=1,H426="Pagas prorrateadas"),2705.41*(F426*G426),AND(D426=1,H426="Pagas no prorrateadas"),2318.93*(F426*G426),AND(D426=2,H426="Pagas prorrateadas"),2246.07*(F426*G426),AND(D426=2,H426="Pagas no prorrateadas"),1925.21*(F426*G426),AND(D426=3,H426="Pagas prorrateadas"),1775.44*(F426*G426),AND(D426=3,H426="Pagas no prorrateadas"),1521.81*(F426*G426),AND(D426=5,H426="Pagas prorrateadas"),1535.9*(F426*G426),AND(D426=5,H426="Pagas no prorrateadas"),1316.49*(F426*G426),AND(D426=7,H426="Pagas prorrateadas"),1493.61*(F426*G426),AND(D426=7,H426="Pagas no prorrateadas"),1280.24*(F426*G426)))</f>
        <v/>
      </c>
      <c r="K426" s="106" t="str">
        <f aca="false">IF(A426="","",IF(J426-I426&gt;=0,"OK",J426-I426))</f>
        <v/>
      </c>
    </row>
    <row r="427" customFormat="false" ht="14.25" hidden="false" customHeight="true" outlineLevel="0" collapsed="false">
      <c r="A427" s="106"/>
      <c r="B427" s="106"/>
      <c r="C427" s="107"/>
      <c r="D427" s="106"/>
      <c r="E427" s="106"/>
      <c r="F427" s="130" t="str">
        <f aca="false">IF(A427="","",MIN(E427/(37.5),1))</f>
        <v/>
      </c>
      <c r="G427" s="108"/>
      <c r="H427" s="106"/>
      <c r="I427" s="107"/>
      <c r="J427" s="131" t="str">
        <f aca="false" t="array" ref="J427:J427">IF(A427="","",ifs(AND(D427=1,H427="Pagas prorrateadas"),2705.41*(F427*G427),AND(D427=1,H427="Pagas no prorrateadas"),2318.93*(F427*G427),AND(D427=2,H427="Pagas prorrateadas"),2246.07*(F427*G427),AND(D427=2,H427="Pagas no prorrateadas"),1925.21*(F427*G427),AND(D427=3,H427="Pagas prorrateadas"),1775.44*(F427*G427),AND(D427=3,H427="Pagas no prorrateadas"),1521.81*(F427*G427),AND(D427=5,H427="Pagas prorrateadas"),1535.9*(F427*G427),AND(D427=5,H427="Pagas no prorrateadas"),1316.49*(F427*G427),AND(D427=7,H427="Pagas prorrateadas"),1493.61*(F427*G427),AND(D427=7,H427="Pagas no prorrateadas"),1280.24*(F427*G427)))</f>
        <v/>
      </c>
      <c r="K427" s="106" t="str">
        <f aca="false">IF(A427="","",IF(J427-I427&gt;=0,"OK",J427-I427))</f>
        <v/>
      </c>
    </row>
    <row r="428" customFormat="false" ht="14.25" hidden="false" customHeight="true" outlineLevel="0" collapsed="false">
      <c r="A428" s="106"/>
      <c r="B428" s="106"/>
      <c r="C428" s="107"/>
      <c r="D428" s="106"/>
      <c r="E428" s="106"/>
      <c r="F428" s="130" t="str">
        <f aca="false">IF(A428="","",MIN(E428/(37.5),1))</f>
        <v/>
      </c>
      <c r="G428" s="108"/>
      <c r="H428" s="106"/>
      <c r="I428" s="107"/>
      <c r="J428" s="131" t="str">
        <f aca="false" t="array" ref="J428:J428">IF(A428="","",ifs(AND(D428=1,H428="Pagas prorrateadas"),2705.41*(F428*G428),AND(D428=1,H428="Pagas no prorrateadas"),2318.93*(F428*G428),AND(D428=2,H428="Pagas prorrateadas"),2246.07*(F428*G428),AND(D428=2,H428="Pagas no prorrateadas"),1925.21*(F428*G428),AND(D428=3,H428="Pagas prorrateadas"),1775.44*(F428*G428),AND(D428=3,H428="Pagas no prorrateadas"),1521.81*(F428*G428),AND(D428=5,H428="Pagas prorrateadas"),1535.9*(F428*G428),AND(D428=5,H428="Pagas no prorrateadas"),1316.49*(F428*G428),AND(D428=7,H428="Pagas prorrateadas"),1493.61*(F428*G428),AND(D428=7,H428="Pagas no prorrateadas"),1280.24*(F428*G428)))</f>
        <v/>
      </c>
      <c r="K428" s="106" t="str">
        <f aca="false">IF(A428="","",IF(J428-I428&gt;=0,"OK",J428-I428))</f>
        <v/>
      </c>
    </row>
    <row r="429" customFormat="false" ht="14.25" hidden="false" customHeight="true" outlineLevel="0" collapsed="false">
      <c r="A429" s="106"/>
      <c r="B429" s="106"/>
      <c r="C429" s="107"/>
      <c r="D429" s="106"/>
      <c r="E429" s="106"/>
      <c r="F429" s="130" t="str">
        <f aca="false">IF(A429="","",MIN(E429/(37.5),1))</f>
        <v/>
      </c>
      <c r="G429" s="108"/>
      <c r="H429" s="106"/>
      <c r="I429" s="107"/>
      <c r="J429" s="131" t="str">
        <f aca="false" t="array" ref="J429:J429">IF(A429="","",ifs(AND(D429=1,H429="Pagas prorrateadas"),2705.41*(F429*G429),AND(D429=1,H429="Pagas no prorrateadas"),2318.93*(F429*G429),AND(D429=2,H429="Pagas prorrateadas"),2246.07*(F429*G429),AND(D429=2,H429="Pagas no prorrateadas"),1925.21*(F429*G429),AND(D429=3,H429="Pagas prorrateadas"),1775.44*(F429*G429),AND(D429=3,H429="Pagas no prorrateadas"),1521.81*(F429*G429),AND(D429=5,H429="Pagas prorrateadas"),1535.9*(F429*G429),AND(D429=5,H429="Pagas no prorrateadas"),1316.49*(F429*G429),AND(D429=7,H429="Pagas prorrateadas"),1493.61*(F429*G429),AND(D429=7,H429="Pagas no prorrateadas"),1280.24*(F429*G429)))</f>
        <v/>
      </c>
      <c r="K429" s="106" t="str">
        <f aca="false">IF(A429="","",IF(J429-I429&gt;=0,"OK",J429-I429))</f>
        <v/>
      </c>
    </row>
    <row r="430" customFormat="false" ht="14.25" hidden="false" customHeight="true" outlineLevel="0" collapsed="false">
      <c r="A430" s="106"/>
      <c r="B430" s="106"/>
      <c r="C430" s="107"/>
      <c r="D430" s="106"/>
      <c r="E430" s="106"/>
      <c r="F430" s="130" t="str">
        <f aca="false">IF(A430="","",MIN(E430/(37.5),1))</f>
        <v/>
      </c>
      <c r="G430" s="108"/>
      <c r="H430" s="106"/>
      <c r="I430" s="107"/>
      <c r="J430" s="131" t="str">
        <f aca="false" t="array" ref="J430:J430">IF(A430="","",ifs(AND(D430=1,H430="Pagas prorrateadas"),2705.41*(F430*G430),AND(D430=1,H430="Pagas no prorrateadas"),2318.93*(F430*G430),AND(D430=2,H430="Pagas prorrateadas"),2246.07*(F430*G430),AND(D430=2,H430="Pagas no prorrateadas"),1925.21*(F430*G430),AND(D430=3,H430="Pagas prorrateadas"),1775.44*(F430*G430),AND(D430=3,H430="Pagas no prorrateadas"),1521.81*(F430*G430),AND(D430=5,H430="Pagas prorrateadas"),1535.9*(F430*G430),AND(D430=5,H430="Pagas no prorrateadas"),1316.49*(F430*G430),AND(D430=7,H430="Pagas prorrateadas"),1493.61*(F430*G430),AND(D430=7,H430="Pagas no prorrateadas"),1280.24*(F430*G430)))</f>
        <v/>
      </c>
      <c r="K430" s="106" t="str">
        <f aca="false">IF(A430="","",IF(J430-I430&gt;=0,"OK",J430-I430))</f>
        <v/>
      </c>
    </row>
    <row r="431" customFormat="false" ht="14.25" hidden="false" customHeight="true" outlineLevel="0" collapsed="false">
      <c r="A431" s="106"/>
      <c r="B431" s="106"/>
      <c r="C431" s="107"/>
      <c r="D431" s="106"/>
      <c r="E431" s="106"/>
      <c r="F431" s="130" t="str">
        <f aca="false">IF(A431="","",MIN(E431/(37.5),1))</f>
        <v/>
      </c>
      <c r="G431" s="108"/>
      <c r="H431" s="106"/>
      <c r="I431" s="107"/>
      <c r="J431" s="131" t="str">
        <f aca="false" t="array" ref="J431:J431">IF(A431="","",ifs(AND(D431=1,H431="Pagas prorrateadas"),2705.41*(F431*G431),AND(D431=1,H431="Pagas no prorrateadas"),2318.93*(F431*G431),AND(D431=2,H431="Pagas prorrateadas"),2246.07*(F431*G431),AND(D431=2,H431="Pagas no prorrateadas"),1925.21*(F431*G431),AND(D431=3,H431="Pagas prorrateadas"),1775.44*(F431*G431),AND(D431=3,H431="Pagas no prorrateadas"),1521.81*(F431*G431),AND(D431=5,H431="Pagas prorrateadas"),1535.9*(F431*G431),AND(D431=5,H431="Pagas no prorrateadas"),1316.49*(F431*G431),AND(D431=7,H431="Pagas prorrateadas"),1493.61*(F431*G431),AND(D431=7,H431="Pagas no prorrateadas"),1280.24*(F431*G431)))</f>
        <v/>
      </c>
      <c r="K431" s="106" t="str">
        <f aca="false">IF(A431="","",IF(J431-I431&gt;=0,"OK",J431-I431))</f>
        <v/>
      </c>
    </row>
    <row r="432" customFormat="false" ht="14.25" hidden="false" customHeight="true" outlineLevel="0" collapsed="false">
      <c r="A432" s="106"/>
      <c r="B432" s="106"/>
      <c r="C432" s="107"/>
      <c r="D432" s="106"/>
      <c r="E432" s="106"/>
      <c r="F432" s="130" t="str">
        <f aca="false">IF(A432="","",MIN(E432/(37.5),1))</f>
        <v/>
      </c>
      <c r="G432" s="108"/>
      <c r="H432" s="106"/>
      <c r="I432" s="107"/>
      <c r="J432" s="131" t="str">
        <f aca="false" t="array" ref="J432:J432">IF(A432="","",ifs(AND(D432=1,H432="Pagas prorrateadas"),2705.41*(F432*G432),AND(D432=1,H432="Pagas no prorrateadas"),2318.93*(F432*G432),AND(D432=2,H432="Pagas prorrateadas"),2246.07*(F432*G432),AND(D432=2,H432="Pagas no prorrateadas"),1925.21*(F432*G432),AND(D432=3,H432="Pagas prorrateadas"),1775.44*(F432*G432),AND(D432=3,H432="Pagas no prorrateadas"),1521.81*(F432*G432),AND(D432=5,H432="Pagas prorrateadas"),1535.9*(F432*G432),AND(D432=5,H432="Pagas no prorrateadas"),1316.49*(F432*G432),AND(D432=7,H432="Pagas prorrateadas"),1493.61*(F432*G432),AND(D432=7,H432="Pagas no prorrateadas"),1280.24*(F432*G432)))</f>
        <v/>
      </c>
      <c r="K432" s="106" t="str">
        <f aca="false">IF(A432="","",IF(J432-I432&gt;=0,"OK",J432-I432))</f>
        <v/>
      </c>
    </row>
    <row r="433" customFormat="false" ht="14.25" hidden="false" customHeight="true" outlineLevel="0" collapsed="false">
      <c r="A433" s="106"/>
      <c r="B433" s="106"/>
      <c r="C433" s="107"/>
      <c r="D433" s="106"/>
      <c r="E433" s="106"/>
      <c r="F433" s="130" t="str">
        <f aca="false">IF(A433="","",MIN(E433/(37.5),1))</f>
        <v/>
      </c>
      <c r="G433" s="108"/>
      <c r="H433" s="106"/>
      <c r="I433" s="107"/>
      <c r="J433" s="131" t="str">
        <f aca="false" t="array" ref="J433:J433">IF(A433="","",ifs(AND(D433=1,H433="Pagas prorrateadas"),2705.41*(F433*G433),AND(D433=1,H433="Pagas no prorrateadas"),2318.93*(F433*G433),AND(D433=2,H433="Pagas prorrateadas"),2246.07*(F433*G433),AND(D433=2,H433="Pagas no prorrateadas"),1925.21*(F433*G433),AND(D433=3,H433="Pagas prorrateadas"),1775.44*(F433*G433),AND(D433=3,H433="Pagas no prorrateadas"),1521.81*(F433*G433),AND(D433=5,H433="Pagas prorrateadas"),1535.9*(F433*G433),AND(D433=5,H433="Pagas no prorrateadas"),1316.49*(F433*G433),AND(D433=7,H433="Pagas prorrateadas"),1493.61*(F433*G433),AND(D433=7,H433="Pagas no prorrateadas"),1280.24*(F433*G433)))</f>
        <v/>
      </c>
      <c r="K433" s="106" t="str">
        <f aca="false">IF(A433="","",IF(J433-I433&gt;=0,"OK",J433-I433))</f>
        <v/>
      </c>
    </row>
    <row r="434" customFormat="false" ht="14.25" hidden="false" customHeight="true" outlineLevel="0" collapsed="false">
      <c r="A434" s="106"/>
      <c r="B434" s="106"/>
      <c r="C434" s="107"/>
      <c r="D434" s="106"/>
      <c r="E434" s="106"/>
      <c r="F434" s="130" t="str">
        <f aca="false">IF(A434="","",MIN(E434/(37.5),1))</f>
        <v/>
      </c>
      <c r="G434" s="108"/>
      <c r="H434" s="106"/>
      <c r="I434" s="107"/>
      <c r="J434" s="131" t="str">
        <f aca="false" t="array" ref="J434:J434">IF(A434="","",ifs(AND(D434=1,H434="Pagas prorrateadas"),2705.41*(F434*G434),AND(D434=1,H434="Pagas no prorrateadas"),2318.93*(F434*G434),AND(D434=2,H434="Pagas prorrateadas"),2246.07*(F434*G434),AND(D434=2,H434="Pagas no prorrateadas"),1925.21*(F434*G434),AND(D434=3,H434="Pagas prorrateadas"),1775.44*(F434*G434),AND(D434=3,H434="Pagas no prorrateadas"),1521.81*(F434*G434),AND(D434=5,H434="Pagas prorrateadas"),1535.9*(F434*G434),AND(D434=5,H434="Pagas no prorrateadas"),1316.49*(F434*G434),AND(D434=7,H434="Pagas prorrateadas"),1493.61*(F434*G434),AND(D434=7,H434="Pagas no prorrateadas"),1280.24*(F434*G434)))</f>
        <v/>
      </c>
      <c r="K434" s="106" t="str">
        <f aca="false">IF(A434="","",IF(J434-I434&gt;=0,"OK",J434-I434))</f>
        <v/>
      </c>
    </row>
    <row r="435" customFormat="false" ht="14.25" hidden="false" customHeight="true" outlineLevel="0" collapsed="false">
      <c r="A435" s="106"/>
      <c r="B435" s="106"/>
      <c r="C435" s="107"/>
      <c r="D435" s="106"/>
      <c r="E435" s="106"/>
      <c r="F435" s="130" t="str">
        <f aca="false">IF(A435="","",MIN(E435/(37.5),1))</f>
        <v/>
      </c>
      <c r="G435" s="108"/>
      <c r="H435" s="106"/>
      <c r="I435" s="107"/>
      <c r="J435" s="131" t="str">
        <f aca="false" t="array" ref="J435:J435">IF(A435="","",ifs(AND(D435=1,H435="Pagas prorrateadas"),2705.41*(F435*G435),AND(D435=1,H435="Pagas no prorrateadas"),2318.93*(F435*G435),AND(D435=2,H435="Pagas prorrateadas"),2246.07*(F435*G435),AND(D435=2,H435="Pagas no prorrateadas"),1925.21*(F435*G435),AND(D435=3,H435="Pagas prorrateadas"),1775.44*(F435*G435),AND(D435=3,H435="Pagas no prorrateadas"),1521.81*(F435*G435),AND(D435=5,H435="Pagas prorrateadas"),1535.9*(F435*G435),AND(D435=5,H435="Pagas no prorrateadas"),1316.49*(F435*G435),AND(D435=7,H435="Pagas prorrateadas"),1493.61*(F435*G435),AND(D435=7,H435="Pagas no prorrateadas"),1280.24*(F435*G435)))</f>
        <v/>
      </c>
      <c r="K435" s="106" t="str">
        <f aca="false">IF(A435="","",IF(J435-I435&gt;=0,"OK",J435-I435))</f>
        <v/>
      </c>
    </row>
    <row r="436" customFormat="false" ht="14.25" hidden="false" customHeight="true" outlineLevel="0" collapsed="false">
      <c r="A436" s="106"/>
      <c r="B436" s="106"/>
      <c r="C436" s="107"/>
      <c r="D436" s="106"/>
      <c r="E436" s="106"/>
      <c r="F436" s="130" t="str">
        <f aca="false">IF(A436="","",MIN(E436/(37.5),1))</f>
        <v/>
      </c>
      <c r="G436" s="108"/>
      <c r="H436" s="106"/>
      <c r="I436" s="107"/>
      <c r="J436" s="131" t="str">
        <f aca="false" t="array" ref="J436:J436">IF(A436="","",ifs(AND(D436=1,H436="Pagas prorrateadas"),2705.41*(F436*G436),AND(D436=1,H436="Pagas no prorrateadas"),2318.93*(F436*G436),AND(D436=2,H436="Pagas prorrateadas"),2246.07*(F436*G436),AND(D436=2,H436="Pagas no prorrateadas"),1925.21*(F436*G436),AND(D436=3,H436="Pagas prorrateadas"),1775.44*(F436*G436),AND(D436=3,H436="Pagas no prorrateadas"),1521.81*(F436*G436),AND(D436=5,H436="Pagas prorrateadas"),1535.9*(F436*G436),AND(D436=5,H436="Pagas no prorrateadas"),1316.49*(F436*G436),AND(D436=7,H436="Pagas prorrateadas"),1493.61*(F436*G436),AND(D436=7,H436="Pagas no prorrateadas"),1280.24*(F436*G436)))</f>
        <v/>
      </c>
      <c r="K436" s="106" t="str">
        <f aca="false">IF(A436="","",IF(J436-I436&gt;=0,"OK",J436-I436))</f>
        <v/>
      </c>
    </row>
    <row r="437" customFormat="false" ht="14.25" hidden="false" customHeight="true" outlineLevel="0" collapsed="false">
      <c r="A437" s="106"/>
      <c r="B437" s="106"/>
      <c r="C437" s="107"/>
      <c r="D437" s="106"/>
      <c r="E437" s="106"/>
      <c r="F437" s="130" t="str">
        <f aca="false">IF(A437="","",MIN(E437/(37.5),1))</f>
        <v/>
      </c>
      <c r="G437" s="108"/>
      <c r="H437" s="106"/>
      <c r="I437" s="107"/>
      <c r="J437" s="131" t="str">
        <f aca="false" t="array" ref="J437:J437">IF(A437="","",ifs(AND(D437=1,H437="Pagas prorrateadas"),2705.41*(F437*G437),AND(D437=1,H437="Pagas no prorrateadas"),2318.93*(F437*G437),AND(D437=2,H437="Pagas prorrateadas"),2246.07*(F437*G437),AND(D437=2,H437="Pagas no prorrateadas"),1925.21*(F437*G437),AND(D437=3,H437="Pagas prorrateadas"),1775.44*(F437*G437),AND(D437=3,H437="Pagas no prorrateadas"),1521.81*(F437*G437),AND(D437=5,H437="Pagas prorrateadas"),1535.9*(F437*G437),AND(D437=5,H437="Pagas no prorrateadas"),1316.49*(F437*G437),AND(D437=7,H437="Pagas prorrateadas"),1493.61*(F437*G437),AND(D437=7,H437="Pagas no prorrateadas"),1280.24*(F437*G437)))</f>
        <v/>
      </c>
      <c r="K437" s="106" t="str">
        <f aca="false">IF(A437="","",IF(J437-I437&gt;=0,"OK",J437-I437))</f>
        <v/>
      </c>
    </row>
    <row r="438" customFormat="false" ht="14.25" hidden="false" customHeight="true" outlineLevel="0" collapsed="false">
      <c r="A438" s="106"/>
      <c r="B438" s="106"/>
      <c r="C438" s="107"/>
      <c r="D438" s="106"/>
      <c r="E438" s="106"/>
      <c r="F438" s="130" t="str">
        <f aca="false">IF(A438="","",MIN(E438/(37.5),1))</f>
        <v/>
      </c>
      <c r="G438" s="108"/>
      <c r="H438" s="106"/>
      <c r="I438" s="107"/>
      <c r="J438" s="131" t="str">
        <f aca="false" t="array" ref="J438:J438">IF(A438="","",ifs(AND(D438=1,H438="Pagas prorrateadas"),2705.41*(F438*G438),AND(D438=1,H438="Pagas no prorrateadas"),2318.93*(F438*G438),AND(D438=2,H438="Pagas prorrateadas"),2246.07*(F438*G438),AND(D438=2,H438="Pagas no prorrateadas"),1925.21*(F438*G438),AND(D438=3,H438="Pagas prorrateadas"),1775.44*(F438*G438),AND(D438=3,H438="Pagas no prorrateadas"),1521.81*(F438*G438),AND(D438=5,H438="Pagas prorrateadas"),1535.9*(F438*G438),AND(D438=5,H438="Pagas no prorrateadas"),1316.49*(F438*G438),AND(D438=7,H438="Pagas prorrateadas"),1493.61*(F438*G438),AND(D438=7,H438="Pagas no prorrateadas"),1280.24*(F438*G438)))</f>
        <v/>
      </c>
      <c r="K438" s="106" t="str">
        <f aca="false">IF(A438="","",IF(J438-I438&gt;=0,"OK",J438-I438))</f>
        <v/>
      </c>
    </row>
    <row r="439" customFormat="false" ht="14.25" hidden="false" customHeight="true" outlineLevel="0" collapsed="false">
      <c r="A439" s="106"/>
      <c r="B439" s="106"/>
      <c r="C439" s="107"/>
      <c r="D439" s="106"/>
      <c r="E439" s="106"/>
      <c r="F439" s="130" t="str">
        <f aca="false">IF(A439="","",MIN(E439/(37.5),1))</f>
        <v/>
      </c>
      <c r="G439" s="108"/>
      <c r="H439" s="106"/>
      <c r="I439" s="107"/>
      <c r="J439" s="131" t="str">
        <f aca="false" t="array" ref="J439:J439">IF(A439="","",ifs(AND(D439=1,H439="Pagas prorrateadas"),2705.41*(F439*G439),AND(D439=1,H439="Pagas no prorrateadas"),2318.93*(F439*G439),AND(D439=2,H439="Pagas prorrateadas"),2246.07*(F439*G439),AND(D439=2,H439="Pagas no prorrateadas"),1925.21*(F439*G439),AND(D439=3,H439="Pagas prorrateadas"),1775.44*(F439*G439),AND(D439=3,H439="Pagas no prorrateadas"),1521.81*(F439*G439),AND(D439=5,H439="Pagas prorrateadas"),1535.9*(F439*G439),AND(D439=5,H439="Pagas no prorrateadas"),1316.49*(F439*G439),AND(D439=7,H439="Pagas prorrateadas"),1493.61*(F439*G439),AND(D439=7,H439="Pagas no prorrateadas"),1280.24*(F439*G439)))</f>
        <v/>
      </c>
      <c r="K439" s="106" t="str">
        <f aca="false">IF(A439="","",IF(J439-I439&gt;=0,"OK",J439-I439))</f>
        <v/>
      </c>
    </row>
    <row r="440" customFormat="false" ht="14.25" hidden="false" customHeight="true" outlineLevel="0" collapsed="false">
      <c r="A440" s="106"/>
      <c r="B440" s="106"/>
      <c r="C440" s="107"/>
      <c r="D440" s="106"/>
      <c r="E440" s="106"/>
      <c r="F440" s="130" t="str">
        <f aca="false">IF(A440="","",MIN(E440/(37.5),1))</f>
        <v/>
      </c>
      <c r="G440" s="108"/>
      <c r="H440" s="106"/>
      <c r="I440" s="107"/>
      <c r="J440" s="131" t="str">
        <f aca="false" t="array" ref="J440:J440">IF(A440="","",ifs(AND(D440=1,H440="Pagas prorrateadas"),2705.41*(F440*G440),AND(D440=1,H440="Pagas no prorrateadas"),2318.93*(F440*G440),AND(D440=2,H440="Pagas prorrateadas"),2246.07*(F440*G440),AND(D440=2,H440="Pagas no prorrateadas"),1925.21*(F440*G440),AND(D440=3,H440="Pagas prorrateadas"),1775.44*(F440*G440),AND(D440=3,H440="Pagas no prorrateadas"),1521.81*(F440*G440),AND(D440=5,H440="Pagas prorrateadas"),1535.9*(F440*G440),AND(D440=5,H440="Pagas no prorrateadas"),1316.49*(F440*G440),AND(D440=7,H440="Pagas prorrateadas"),1493.61*(F440*G440),AND(D440=7,H440="Pagas no prorrateadas"),1280.24*(F440*G440)))</f>
        <v/>
      </c>
      <c r="K440" s="106" t="str">
        <f aca="false">IF(A440="","",IF(J440-I440&gt;=0,"OK",J440-I440))</f>
        <v/>
      </c>
    </row>
    <row r="441" customFormat="false" ht="14.25" hidden="false" customHeight="true" outlineLevel="0" collapsed="false">
      <c r="A441" s="106"/>
      <c r="B441" s="106"/>
      <c r="C441" s="107"/>
      <c r="D441" s="106"/>
      <c r="E441" s="106"/>
      <c r="F441" s="130" t="str">
        <f aca="false">IF(A441="","",MIN(E441/(37.5),1))</f>
        <v/>
      </c>
      <c r="G441" s="108"/>
      <c r="H441" s="106"/>
      <c r="I441" s="107"/>
      <c r="J441" s="131" t="str">
        <f aca="false" t="array" ref="J441:J441">IF(A441="","",ifs(AND(D441=1,H441="Pagas prorrateadas"),2705.41*(F441*G441),AND(D441=1,H441="Pagas no prorrateadas"),2318.93*(F441*G441),AND(D441=2,H441="Pagas prorrateadas"),2246.07*(F441*G441),AND(D441=2,H441="Pagas no prorrateadas"),1925.21*(F441*G441),AND(D441=3,H441="Pagas prorrateadas"),1775.44*(F441*G441),AND(D441=3,H441="Pagas no prorrateadas"),1521.81*(F441*G441),AND(D441=5,H441="Pagas prorrateadas"),1535.9*(F441*G441),AND(D441=5,H441="Pagas no prorrateadas"),1316.49*(F441*G441),AND(D441=7,H441="Pagas prorrateadas"),1493.61*(F441*G441),AND(D441=7,H441="Pagas no prorrateadas"),1280.24*(F441*G441)))</f>
        <v/>
      </c>
      <c r="K441" s="106" t="str">
        <f aca="false">IF(A441="","",IF(J441-I441&gt;=0,"OK",J441-I441))</f>
        <v/>
      </c>
    </row>
    <row r="442" customFormat="false" ht="14.25" hidden="false" customHeight="true" outlineLevel="0" collapsed="false">
      <c r="A442" s="106"/>
      <c r="B442" s="106"/>
      <c r="C442" s="107"/>
      <c r="D442" s="106"/>
      <c r="E442" s="106"/>
      <c r="F442" s="130" t="str">
        <f aca="false">IF(A442="","",MIN(E442/(37.5),1))</f>
        <v/>
      </c>
      <c r="G442" s="108"/>
      <c r="H442" s="106"/>
      <c r="I442" s="107"/>
      <c r="J442" s="131" t="str">
        <f aca="false" t="array" ref="J442:J442">IF(A442="","",ifs(AND(D442=1,H442="Pagas prorrateadas"),2705.41*(F442*G442),AND(D442=1,H442="Pagas no prorrateadas"),2318.93*(F442*G442),AND(D442=2,H442="Pagas prorrateadas"),2246.07*(F442*G442),AND(D442=2,H442="Pagas no prorrateadas"),1925.21*(F442*G442),AND(D442=3,H442="Pagas prorrateadas"),1775.44*(F442*G442),AND(D442=3,H442="Pagas no prorrateadas"),1521.81*(F442*G442),AND(D442=5,H442="Pagas prorrateadas"),1535.9*(F442*G442),AND(D442=5,H442="Pagas no prorrateadas"),1316.49*(F442*G442),AND(D442=7,H442="Pagas prorrateadas"),1493.61*(F442*G442),AND(D442=7,H442="Pagas no prorrateadas"),1280.24*(F442*G442)))</f>
        <v/>
      </c>
      <c r="K442" s="106" t="str">
        <f aca="false">IF(A442="","",IF(J442-I442&gt;=0,"OK",J442-I442))</f>
        <v/>
      </c>
    </row>
    <row r="443" customFormat="false" ht="14.25" hidden="false" customHeight="true" outlineLevel="0" collapsed="false">
      <c r="A443" s="106"/>
      <c r="B443" s="106"/>
      <c r="C443" s="107"/>
      <c r="D443" s="106"/>
      <c r="E443" s="106"/>
      <c r="F443" s="130" t="str">
        <f aca="false">IF(A443="","",MIN(E443/(37.5),1))</f>
        <v/>
      </c>
      <c r="G443" s="108"/>
      <c r="H443" s="106"/>
      <c r="I443" s="107"/>
      <c r="J443" s="131" t="str">
        <f aca="false" t="array" ref="J443:J443">IF(A443="","",ifs(AND(D443=1,H443="Pagas prorrateadas"),2705.41*(F443*G443),AND(D443=1,H443="Pagas no prorrateadas"),2318.93*(F443*G443),AND(D443=2,H443="Pagas prorrateadas"),2246.07*(F443*G443),AND(D443=2,H443="Pagas no prorrateadas"),1925.21*(F443*G443),AND(D443=3,H443="Pagas prorrateadas"),1775.44*(F443*G443),AND(D443=3,H443="Pagas no prorrateadas"),1521.81*(F443*G443),AND(D443=5,H443="Pagas prorrateadas"),1535.9*(F443*G443),AND(D443=5,H443="Pagas no prorrateadas"),1316.49*(F443*G443),AND(D443=7,H443="Pagas prorrateadas"),1493.61*(F443*G443),AND(D443=7,H443="Pagas no prorrateadas"),1280.24*(F443*G443)))</f>
        <v/>
      </c>
      <c r="K443" s="106" t="str">
        <f aca="false">IF(A443="","",IF(J443-I443&gt;=0,"OK",J443-I443))</f>
        <v/>
      </c>
    </row>
    <row r="444" customFormat="false" ht="14.25" hidden="false" customHeight="true" outlineLevel="0" collapsed="false">
      <c r="A444" s="106"/>
      <c r="B444" s="106"/>
      <c r="C444" s="107"/>
      <c r="D444" s="106"/>
      <c r="E444" s="106"/>
      <c r="F444" s="130" t="str">
        <f aca="false">IF(A444="","",MIN(E444/(37.5),1))</f>
        <v/>
      </c>
      <c r="G444" s="108"/>
      <c r="H444" s="106"/>
      <c r="I444" s="107"/>
      <c r="J444" s="131" t="str">
        <f aca="false" t="array" ref="J444:J444">IF(A444="","",ifs(AND(D444=1,H444="Pagas prorrateadas"),2705.41*(F444*G444),AND(D444=1,H444="Pagas no prorrateadas"),2318.93*(F444*G444),AND(D444=2,H444="Pagas prorrateadas"),2246.07*(F444*G444),AND(D444=2,H444="Pagas no prorrateadas"),1925.21*(F444*G444),AND(D444=3,H444="Pagas prorrateadas"),1775.44*(F444*G444),AND(D444=3,H444="Pagas no prorrateadas"),1521.81*(F444*G444),AND(D444=5,H444="Pagas prorrateadas"),1535.9*(F444*G444),AND(D444=5,H444="Pagas no prorrateadas"),1316.49*(F444*G444),AND(D444=7,H444="Pagas prorrateadas"),1493.61*(F444*G444),AND(D444=7,H444="Pagas no prorrateadas"),1280.24*(F444*G444)))</f>
        <v/>
      </c>
      <c r="K444" s="106" t="str">
        <f aca="false">IF(A444="","",IF(J444-I444&gt;=0,"OK",J444-I444))</f>
        <v/>
      </c>
    </row>
    <row r="445" customFormat="false" ht="14.25" hidden="false" customHeight="true" outlineLevel="0" collapsed="false">
      <c r="A445" s="106"/>
      <c r="B445" s="106"/>
      <c r="C445" s="107"/>
      <c r="D445" s="106"/>
      <c r="E445" s="106"/>
      <c r="F445" s="130" t="str">
        <f aca="false">IF(A445="","",MIN(E445/(37.5),1))</f>
        <v/>
      </c>
      <c r="G445" s="108"/>
      <c r="H445" s="106"/>
      <c r="I445" s="107"/>
      <c r="J445" s="131" t="str">
        <f aca="false" t="array" ref="J445:J445">IF(A445="","",ifs(AND(D445=1,H445="Pagas prorrateadas"),2705.41*(F445*G445),AND(D445=1,H445="Pagas no prorrateadas"),2318.93*(F445*G445),AND(D445=2,H445="Pagas prorrateadas"),2246.07*(F445*G445),AND(D445=2,H445="Pagas no prorrateadas"),1925.21*(F445*G445),AND(D445=3,H445="Pagas prorrateadas"),1775.44*(F445*G445),AND(D445=3,H445="Pagas no prorrateadas"),1521.81*(F445*G445),AND(D445=5,H445="Pagas prorrateadas"),1535.9*(F445*G445),AND(D445=5,H445="Pagas no prorrateadas"),1316.49*(F445*G445),AND(D445=7,H445="Pagas prorrateadas"),1493.61*(F445*G445),AND(D445=7,H445="Pagas no prorrateadas"),1280.24*(F445*G445)))</f>
        <v/>
      </c>
      <c r="K445" s="106" t="str">
        <f aca="false">IF(A445="","",IF(J445-I445&gt;=0,"OK",J445-I445))</f>
        <v/>
      </c>
    </row>
    <row r="446" customFormat="false" ht="14.25" hidden="false" customHeight="true" outlineLevel="0" collapsed="false">
      <c r="A446" s="106"/>
      <c r="B446" s="106"/>
      <c r="C446" s="107"/>
      <c r="D446" s="106"/>
      <c r="E446" s="106"/>
      <c r="F446" s="130" t="str">
        <f aca="false">IF(A446="","",MIN(E446/(37.5),1))</f>
        <v/>
      </c>
      <c r="G446" s="108"/>
      <c r="H446" s="106"/>
      <c r="I446" s="107"/>
      <c r="J446" s="131" t="str">
        <f aca="false" t="array" ref="J446:J446">IF(A446="","",ifs(AND(D446=1,H446="Pagas prorrateadas"),2705.41*(F446*G446),AND(D446=1,H446="Pagas no prorrateadas"),2318.93*(F446*G446),AND(D446=2,H446="Pagas prorrateadas"),2246.07*(F446*G446),AND(D446=2,H446="Pagas no prorrateadas"),1925.21*(F446*G446),AND(D446=3,H446="Pagas prorrateadas"),1775.44*(F446*G446),AND(D446=3,H446="Pagas no prorrateadas"),1521.81*(F446*G446),AND(D446=5,H446="Pagas prorrateadas"),1535.9*(F446*G446),AND(D446=5,H446="Pagas no prorrateadas"),1316.49*(F446*G446),AND(D446=7,H446="Pagas prorrateadas"),1493.61*(F446*G446),AND(D446=7,H446="Pagas no prorrateadas"),1280.24*(F446*G446)))</f>
        <v/>
      </c>
      <c r="K446" s="106" t="str">
        <f aca="false">IF(A446="","",IF(J446-I446&gt;=0,"OK",J446-I446))</f>
        <v/>
      </c>
    </row>
    <row r="447" customFormat="false" ht="14.25" hidden="false" customHeight="true" outlineLevel="0" collapsed="false">
      <c r="A447" s="106"/>
      <c r="B447" s="106"/>
      <c r="C447" s="107"/>
      <c r="D447" s="106"/>
      <c r="E447" s="106"/>
      <c r="F447" s="130" t="str">
        <f aca="false">IF(A447="","",MIN(E447/(37.5),1))</f>
        <v/>
      </c>
      <c r="G447" s="108"/>
      <c r="H447" s="106"/>
      <c r="I447" s="107"/>
      <c r="J447" s="131" t="str">
        <f aca="false" t="array" ref="J447:J447">IF(A447="","",ifs(AND(D447=1,H447="Pagas prorrateadas"),2705.41*(F447*G447),AND(D447=1,H447="Pagas no prorrateadas"),2318.93*(F447*G447),AND(D447=2,H447="Pagas prorrateadas"),2246.07*(F447*G447),AND(D447=2,H447="Pagas no prorrateadas"),1925.21*(F447*G447),AND(D447=3,H447="Pagas prorrateadas"),1775.44*(F447*G447),AND(D447=3,H447="Pagas no prorrateadas"),1521.81*(F447*G447),AND(D447=5,H447="Pagas prorrateadas"),1535.9*(F447*G447),AND(D447=5,H447="Pagas no prorrateadas"),1316.49*(F447*G447),AND(D447=7,H447="Pagas prorrateadas"),1493.61*(F447*G447),AND(D447=7,H447="Pagas no prorrateadas"),1280.24*(F447*G447)))</f>
        <v/>
      </c>
      <c r="K447" s="106" t="str">
        <f aca="false">IF(A447="","",IF(J447-I447&gt;=0,"OK",J447-I447))</f>
        <v/>
      </c>
    </row>
    <row r="448" customFormat="false" ht="14.25" hidden="false" customHeight="true" outlineLevel="0" collapsed="false">
      <c r="A448" s="106"/>
      <c r="B448" s="106"/>
      <c r="C448" s="107"/>
      <c r="D448" s="106"/>
      <c r="E448" s="106"/>
      <c r="F448" s="130" t="str">
        <f aca="false">IF(A448="","",MIN(E448/(37.5),1))</f>
        <v/>
      </c>
      <c r="G448" s="108"/>
      <c r="H448" s="106"/>
      <c r="I448" s="107"/>
      <c r="J448" s="131" t="str">
        <f aca="false" t="array" ref="J448:J448">IF(A448="","",ifs(AND(D448=1,H448="Pagas prorrateadas"),2705.41*(F448*G448),AND(D448=1,H448="Pagas no prorrateadas"),2318.93*(F448*G448),AND(D448=2,H448="Pagas prorrateadas"),2246.07*(F448*G448),AND(D448=2,H448="Pagas no prorrateadas"),1925.21*(F448*G448),AND(D448=3,H448="Pagas prorrateadas"),1775.44*(F448*G448),AND(D448=3,H448="Pagas no prorrateadas"),1521.81*(F448*G448),AND(D448=5,H448="Pagas prorrateadas"),1535.9*(F448*G448),AND(D448=5,H448="Pagas no prorrateadas"),1316.49*(F448*G448),AND(D448=7,H448="Pagas prorrateadas"),1493.61*(F448*G448),AND(D448=7,H448="Pagas no prorrateadas"),1280.24*(F448*G448)))</f>
        <v/>
      </c>
      <c r="K448" s="106" t="str">
        <f aca="false">IF(A448="","",IF(J448-I448&gt;=0,"OK",J448-I448))</f>
        <v/>
      </c>
    </row>
    <row r="449" customFormat="false" ht="14.25" hidden="false" customHeight="true" outlineLevel="0" collapsed="false">
      <c r="A449" s="106"/>
      <c r="B449" s="106"/>
      <c r="C449" s="107"/>
      <c r="D449" s="106"/>
      <c r="E449" s="106"/>
      <c r="F449" s="130" t="str">
        <f aca="false">IF(A449="","",MIN(E449/(37.5),1))</f>
        <v/>
      </c>
      <c r="G449" s="108"/>
      <c r="H449" s="106"/>
      <c r="I449" s="107"/>
      <c r="J449" s="131" t="str">
        <f aca="false" t="array" ref="J449:J449">IF(A449="","",ifs(AND(D449=1,H449="Pagas prorrateadas"),2705.41*(F449*G449),AND(D449=1,H449="Pagas no prorrateadas"),2318.93*(F449*G449),AND(D449=2,H449="Pagas prorrateadas"),2246.07*(F449*G449),AND(D449=2,H449="Pagas no prorrateadas"),1925.21*(F449*G449),AND(D449=3,H449="Pagas prorrateadas"),1775.44*(F449*G449),AND(D449=3,H449="Pagas no prorrateadas"),1521.81*(F449*G449),AND(D449=5,H449="Pagas prorrateadas"),1535.9*(F449*G449),AND(D449=5,H449="Pagas no prorrateadas"),1316.49*(F449*G449),AND(D449=7,H449="Pagas prorrateadas"),1493.61*(F449*G449),AND(D449=7,H449="Pagas no prorrateadas"),1280.24*(F449*G449)))</f>
        <v/>
      </c>
      <c r="K449" s="106" t="str">
        <f aca="false">IF(A449="","",IF(J449-I449&gt;=0,"OK",J449-I449))</f>
        <v/>
      </c>
    </row>
    <row r="450" customFormat="false" ht="14.25" hidden="false" customHeight="true" outlineLevel="0" collapsed="false">
      <c r="A450" s="106"/>
      <c r="B450" s="106"/>
      <c r="C450" s="107"/>
      <c r="D450" s="106"/>
      <c r="E450" s="106"/>
      <c r="F450" s="130" t="str">
        <f aca="false">IF(A450="","",MIN(E450/(37.5),1))</f>
        <v/>
      </c>
      <c r="G450" s="108"/>
      <c r="H450" s="106"/>
      <c r="I450" s="107"/>
      <c r="J450" s="131" t="str">
        <f aca="false" t="array" ref="J450:J450">IF(A450="","",ifs(AND(D450=1,H450="Pagas prorrateadas"),2705.41*(F450*G450),AND(D450=1,H450="Pagas no prorrateadas"),2318.93*(F450*G450),AND(D450=2,H450="Pagas prorrateadas"),2246.07*(F450*G450),AND(D450=2,H450="Pagas no prorrateadas"),1925.21*(F450*G450),AND(D450=3,H450="Pagas prorrateadas"),1775.44*(F450*G450),AND(D450=3,H450="Pagas no prorrateadas"),1521.81*(F450*G450),AND(D450=5,H450="Pagas prorrateadas"),1535.9*(F450*G450),AND(D450=5,H450="Pagas no prorrateadas"),1316.49*(F450*G450),AND(D450=7,H450="Pagas prorrateadas"),1493.61*(F450*G450),AND(D450=7,H450="Pagas no prorrateadas"),1280.24*(F450*G450)))</f>
        <v/>
      </c>
      <c r="K450" s="106" t="str">
        <f aca="false">IF(A450="","",IF(J450-I450&gt;=0,"OK",J450-I450))</f>
        <v/>
      </c>
    </row>
    <row r="451" customFormat="false" ht="14.25" hidden="false" customHeight="true" outlineLevel="0" collapsed="false">
      <c r="A451" s="106"/>
      <c r="B451" s="106"/>
      <c r="C451" s="107"/>
      <c r="D451" s="106"/>
      <c r="E451" s="106"/>
      <c r="F451" s="130" t="str">
        <f aca="false">IF(A451="","",MIN(E451/(37.5),1))</f>
        <v/>
      </c>
      <c r="G451" s="108"/>
      <c r="H451" s="106"/>
      <c r="I451" s="107"/>
      <c r="J451" s="131" t="str">
        <f aca="false" t="array" ref="J451:J451">IF(A451="","",ifs(AND(D451=1,H451="Pagas prorrateadas"),2705.41*(F451*G451),AND(D451=1,H451="Pagas no prorrateadas"),2318.93*(F451*G451),AND(D451=2,H451="Pagas prorrateadas"),2246.07*(F451*G451),AND(D451=2,H451="Pagas no prorrateadas"),1925.21*(F451*G451),AND(D451=3,H451="Pagas prorrateadas"),1775.44*(F451*G451),AND(D451=3,H451="Pagas no prorrateadas"),1521.81*(F451*G451),AND(D451=5,H451="Pagas prorrateadas"),1535.9*(F451*G451),AND(D451=5,H451="Pagas no prorrateadas"),1316.49*(F451*G451),AND(D451=7,H451="Pagas prorrateadas"),1493.61*(F451*G451),AND(D451=7,H451="Pagas no prorrateadas"),1280.24*(F451*G451)))</f>
        <v/>
      </c>
      <c r="K451" s="106" t="str">
        <f aca="false">IF(A451="","",IF(J451-I451&gt;=0,"OK",J451-I451))</f>
        <v/>
      </c>
    </row>
    <row r="452" customFormat="false" ht="14.25" hidden="false" customHeight="true" outlineLevel="0" collapsed="false">
      <c r="A452" s="106"/>
      <c r="B452" s="106"/>
      <c r="C452" s="107"/>
      <c r="D452" s="106"/>
      <c r="E452" s="106"/>
      <c r="F452" s="130" t="str">
        <f aca="false">IF(A452="","",MIN(E452/(37.5),1))</f>
        <v/>
      </c>
      <c r="G452" s="108"/>
      <c r="H452" s="106"/>
      <c r="I452" s="107"/>
      <c r="J452" s="131" t="str">
        <f aca="false" t="array" ref="J452:J452">IF(A452="","",ifs(AND(D452=1,H452="Pagas prorrateadas"),2705.41*(F452*G452),AND(D452=1,H452="Pagas no prorrateadas"),2318.93*(F452*G452),AND(D452=2,H452="Pagas prorrateadas"),2246.07*(F452*G452),AND(D452=2,H452="Pagas no prorrateadas"),1925.21*(F452*G452),AND(D452=3,H452="Pagas prorrateadas"),1775.44*(F452*G452),AND(D452=3,H452="Pagas no prorrateadas"),1521.81*(F452*G452),AND(D452=5,H452="Pagas prorrateadas"),1535.9*(F452*G452),AND(D452=5,H452="Pagas no prorrateadas"),1316.49*(F452*G452),AND(D452=7,H452="Pagas prorrateadas"),1493.61*(F452*G452),AND(D452=7,H452="Pagas no prorrateadas"),1280.24*(F452*G452)))</f>
        <v/>
      </c>
      <c r="K452" s="106" t="str">
        <f aca="false">IF(A452="","",IF(J452-I452&gt;=0,"OK",J452-I452))</f>
        <v/>
      </c>
    </row>
    <row r="453" customFormat="false" ht="14.25" hidden="false" customHeight="true" outlineLevel="0" collapsed="false">
      <c r="A453" s="106"/>
      <c r="B453" s="106"/>
      <c r="C453" s="107"/>
      <c r="D453" s="106"/>
      <c r="E453" s="106"/>
      <c r="F453" s="130" t="str">
        <f aca="false">IF(A453="","",MIN(E453/(37.5),1))</f>
        <v/>
      </c>
      <c r="G453" s="108"/>
      <c r="H453" s="106"/>
      <c r="I453" s="107"/>
      <c r="J453" s="131" t="str">
        <f aca="false" t="array" ref="J453:J453">IF(A453="","",ifs(AND(D453=1,H453="Pagas prorrateadas"),2705.41*(F453*G453),AND(D453=1,H453="Pagas no prorrateadas"),2318.93*(F453*G453),AND(D453=2,H453="Pagas prorrateadas"),2246.07*(F453*G453),AND(D453=2,H453="Pagas no prorrateadas"),1925.21*(F453*G453),AND(D453=3,H453="Pagas prorrateadas"),1775.44*(F453*G453),AND(D453=3,H453="Pagas no prorrateadas"),1521.81*(F453*G453),AND(D453=5,H453="Pagas prorrateadas"),1535.9*(F453*G453),AND(D453=5,H453="Pagas no prorrateadas"),1316.49*(F453*G453),AND(D453=7,H453="Pagas prorrateadas"),1493.61*(F453*G453),AND(D453=7,H453="Pagas no prorrateadas"),1280.24*(F453*G453)))</f>
        <v/>
      </c>
      <c r="K453" s="106" t="str">
        <f aca="false">IF(A453="","",IF(J453-I453&gt;=0,"OK",J453-I453))</f>
        <v/>
      </c>
    </row>
    <row r="454" customFormat="false" ht="14.25" hidden="false" customHeight="true" outlineLevel="0" collapsed="false">
      <c r="A454" s="106"/>
      <c r="B454" s="106"/>
      <c r="C454" s="107"/>
      <c r="D454" s="106"/>
      <c r="E454" s="106"/>
      <c r="F454" s="130" t="str">
        <f aca="false">IF(A454="","",MIN(E454/(37.5),1))</f>
        <v/>
      </c>
      <c r="G454" s="108"/>
      <c r="H454" s="106"/>
      <c r="I454" s="107"/>
      <c r="J454" s="131" t="str">
        <f aca="false" t="array" ref="J454:J454">IF(A454="","",ifs(AND(D454=1,H454="Pagas prorrateadas"),2705.41*(F454*G454),AND(D454=1,H454="Pagas no prorrateadas"),2318.93*(F454*G454),AND(D454=2,H454="Pagas prorrateadas"),2246.07*(F454*G454),AND(D454=2,H454="Pagas no prorrateadas"),1925.21*(F454*G454),AND(D454=3,H454="Pagas prorrateadas"),1775.44*(F454*G454),AND(D454=3,H454="Pagas no prorrateadas"),1521.81*(F454*G454),AND(D454=5,H454="Pagas prorrateadas"),1535.9*(F454*G454),AND(D454=5,H454="Pagas no prorrateadas"),1316.49*(F454*G454),AND(D454=7,H454="Pagas prorrateadas"),1493.61*(F454*G454),AND(D454=7,H454="Pagas no prorrateadas"),1280.24*(F454*G454)))</f>
        <v/>
      </c>
      <c r="K454" s="106" t="str">
        <f aca="false">IF(A454="","",IF(J454-I454&gt;=0,"OK",J454-I454))</f>
        <v/>
      </c>
    </row>
    <row r="455" customFormat="false" ht="14.25" hidden="false" customHeight="true" outlineLevel="0" collapsed="false">
      <c r="A455" s="106"/>
      <c r="B455" s="106"/>
      <c r="C455" s="107"/>
      <c r="D455" s="106"/>
      <c r="E455" s="106"/>
      <c r="F455" s="130" t="str">
        <f aca="false">IF(A455="","",MIN(E455/(37.5),1))</f>
        <v/>
      </c>
      <c r="G455" s="108"/>
      <c r="H455" s="106"/>
      <c r="I455" s="107"/>
      <c r="J455" s="131" t="str">
        <f aca="false" t="array" ref="J455:J455">IF(A455="","",ifs(AND(D455=1,H455="Pagas prorrateadas"),2705.41*(F455*G455),AND(D455=1,H455="Pagas no prorrateadas"),2318.93*(F455*G455),AND(D455=2,H455="Pagas prorrateadas"),2246.07*(F455*G455),AND(D455=2,H455="Pagas no prorrateadas"),1925.21*(F455*G455),AND(D455=3,H455="Pagas prorrateadas"),1775.44*(F455*G455),AND(D455=3,H455="Pagas no prorrateadas"),1521.81*(F455*G455),AND(D455=5,H455="Pagas prorrateadas"),1535.9*(F455*G455),AND(D455=5,H455="Pagas no prorrateadas"),1316.49*(F455*G455),AND(D455=7,H455="Pagas prorrateadas"),1493.61*(F455*G455),AND(D455=7,H455="Pagas no prorrateadas"),1280.24*(F455*G455)))</f>
        <v/>
      </c>
      <c r="K455" s="106" t="str">
        <f aca="false">IF(A455="","",IF(J455-I455&gt;=0,"OK",J455-I455))</f>
        <v/>
      </c>
    </row>
    <row r="456" customFormat="false" ht="14.25" hidden="false" customHeight="true" outlineLevel="0" collapsed="false">
      <c r="A456" s="106"/>
      <c r="B456" s="106"/>
      <c r="C456" s="107"/>
      <c r="D456" s="106"/>
      <c r="E456" s="106"/>
      <c r="F456" s="130" t="str">
        <f aca="false">IF(A456="","",MIN(E456/(37.5),1))</f>
        <v/>
      </c>
      <c r="G456" s="108"/>
      <c r="H456" s="106"/>
      <c r="I456" s="107"/>
      <c r="J456" s="131" t="str">
        <f aca="false" t="array" ref="J456:J456">IF(A456="","",ifs(AND(D456=1,H456="Pagas prorrateadas"),2705.41*(F456*G456),AND(D456=1,H456="Pagas no prorrateadas"),2318.93*(F456*G456),AND(D456=2,H456="Pagas prorrateadas"),2246.07*(F456*G456),AND(D456=2,H456="Pagas no prorrateadas"),1925.21*(F456*G456),AND(D456=3,H456="Pagas prorrateadas"),1775.44*(F456*G456),AND(D456=3,H456="Pagas no prorrateadas"),1521.81*(F456*G456),AND(D456=5,H456="Pagas prorrateadas"),1535.9*(F456*G456),AND(D456=5,H456="Pagas no prorrateadas"),1316.49*(F456*G456),AND(D456=7,H456="Pagas prorrateadas"),1493.61*(F456*G456),AND(D456=7,H456="Pagas no prorrateadas"),1280.24*(F456*G456)))</f>
        <v/>
      </c>
      <c r="K456" s="106" t="str">
        <f aca="false">IF(A456="","",IF(J456-I456&gt;=0,"OK",J456-I456))</f>
        <v/>
      </c>
    </row>
    <row r="457" customFormat="false" ht="14.25" hidden="false" customHeight="true" outlineLevel="0" collapsed="false">
      <c r="A457" s="106"/>
      <c r="B457" s="106"/>
      <c r="C457" s="107"/>
      <c r="D457" s="106"/>
      <c r="E457" s="106"/>
      <c r="F457" s="130" t="str">
        <f aca="false">IF(A457="","",MIN(E457/(37.5),1))</f>
        <v/>
      </c>
      <c r="G457" s="108"/>
      <c r="H457" s="106"/>
      <c r="I457" s="107"/>
      <c r="J457" s="131" t="str">
        <f aca="false" t="array" ref="J457:J457">IF(A457="","",ifs(AND(D457=1,H457="Pagas prorrateadas"),2705.41*(F457*G457),AND(D457=1,H457="Pagas no prorrateadas"),2318.93*(F457*G457),AND(D457=2,H457="Pagas prorrateadas"),2246.07*(F457*G457),AND(D457=2,H457="Pagas no prorrateadas"),1925.21*(F457*G457),AND(D457=3,H457="Pagas prorrateadas"),1775.44*(F457*G457),AND(D457=3,H457="Pagas no prorrateadas"),1521.81*(F457*G457),AND(D457=5,H457="Pagas prorrateadas"),1535.9*(F457*G457),AND(D457=5,H457="Pagas no prorrateadas"),1316.49*(F457*G457),AND(D457=7,H457="Pagas prorrateadas"),1493.61*(F457*G457),AND(D457=7,H457="Pagas no prorrateadas"),1280.24*(F457*G457)))</f>
        <v/>
      </c>
      <c r="K457" s="106" t="str">
        <f aca="false">IF(A457="","",IF(J457-I457&gt;=0,"OK",J457-I457))</f>
        <v/>
      </c>
    </row>
    <row r="458" customFormat="false" ht="14.25" hidden="false" customHeight="true" outlineLevel="0" collapsed="false">
      <c r="A458" s="106"/>
      <c r="B458" s="106"/>
      <c r="C458" s="107"/>
      <c r="D458" s="106"/>
      <c r="E458" s="106"/>
      <c r="F458" s="130" t="str">
        <f aca="false">IF(A458="","",MIN(E458/(37.5),1))</f>
        <v/>
      </c>
      <c r="G458" s="108"/>
      <c r="H458" s="106"/>
      <c r="I458" s="107"/>
      <c r="J458" s="131" t="str">
        <f aca="false" t="array" ref="J458:J458">IF(A458="","",ifs(AND(D458=1,H458="Pagas prorrateadas"),2705.41*(F458*G458),AND(D458=1,H458="Pagas no prorrateadas"),2318.93*(F458*G458),AND(D458=2,H458="Pagas prorrateadas"),2246.07*(F458*G458),AND(D458=2,H458="Pagas no prorrateadas"),1925.21*(F458*G458),AND(D458=3,H458="Pagas prorrateadas"),1775.44*(F458*G458),AND(D458=3,H458="Pagas no prorrateadas"),1521.81*(F458*G458),AND(D458=5,H458="Pagas prorrateadas"),1535.9*(F458*G458),AND(D458=5,H458="Pagas no prorrateadas"),1316.49*(F458*G458),AND(D458=7,H458="Pagas prorrateadas"),1493.61*(F458*G458),AND(D458=7,H458="Pagas no prorrateadas"),1280.24*(F458*G458)))</f>
        <v/>
      </c>
      <c r="K458" s="106" t="str">
        <f aca="false">IF(A458="","",IF(J458-I458&gt;=0,"OK",J458-I458))</f>
        <v/>
      </c>
    </row>
    <row r="459" customFormat="false" ht="14.25" hidden="false" customHeight="true" outlineLevel="0" collapsed="false">
      <c r="A459" s="106"/>
      <c r="B459" s="106"/>
      <c r="C459" s="107"/>
      <c r="D459" s="106"/>
      <c r="E459" s="106"/>
      <c r="F459" s="130" t="str">
        <f aca="false">IF(A459="","",MIN(E459/(37.5),1))</f>
        <v/>
      </c>
      <c r="G459" s="108"/>
      <c r="H459" s="106"/>
      <c r="I459" s="107"/>
      <c r="J459" s="131" t="str">
        <f aca="false" t="array" ref="J459:J459">IF(A459="","",ifs(AND(D459=1,H459="Pagas prorrateadas"),2705.41*(F459*G459),AND(D459=1,H459="Pagas no prorrateadas"),2318.93*(F459*G459),AND(D459=2,H459="Pagas prorrateadas"),2246.07*(F459*G459),AND(D459=2,H459="Pagas no prorrateadas"),1925.21*(F459*G459),AND(D459=3,H459="Pagas prorrateadas"),1775.44*(F459*G459),AND(D459=3,H459="Pagas no prorrateadas"),1521.81*(F459*G459),AND(D459=5,H459="Pagas prorrateadas"),1535.9*(F459*G459),AND(D459=5,H459="Pagas no prorrateadas"),1316.49*(F459*G459),AND(D459=7,H459="Pagas prorrateadas"),1493.61*(F459*G459),AND(D459=7,H459="Pagas no prorrateadas"),1280.24*(F459*G459)))</f>
        <v/>
      </c>
      <c r="K459" s="106" t="str">
        <f aca="false">IF(A459="","",IF(J459-I459&gt;=0,"OK",J459-I459))</f>
        <v/>
      </c>
    </row>
    <row r="460" customFormat="false" ht="14.25" hidden="false" customHeight="true" outlineLevel="0" collapsed="false">
      <c r="A460" s="106"/>
      <c r="B460" s="106"/>
      <c r="C460" s="107"/>
      <c r="D460" s="106"/>
      <c r="E460" s="106"/>
      <c r="F460" s="130" t="str">
        <f aca="false">IF(A460="","",MIN(E460/(37.5),1))</f>
        <v/>
      </c>
      <c r="G460" s="108"/>
      <c r="H460" s="106"/>
      <c r="I460" s="107"/>
      <c r="J460" s="131" t="str">
        <f aca="false" t="array" ref="J460:J460">IF(A460="","",ifs(AND(D460=1,H460="Pagas prorrateadas"),2705.41*(F460*G460),AND(D460=1,H460="Pagas no prorrateadas"),2318.93*(F460*G460),AND(D460=2,H460="Pagas prorrateadas"),2246.07*(F460*G460),AND(D460=2,H460="Pagas no prorrateadas"),1925.21*(F460*G460),AND(D460=3,H460="Pagas prorrateadas"),1775.44*(F460*G460),AND(D460=3,H460="Pagas no prorrateadas"),1521.81*(F460*G460),AND(D460=5,H460="Pagas prorrateadas"),1535.9*(F460*G460),AND(D460=5,H460="Pagas no prorrateadas"),1316.49*(F460*G460),AND(D460=7,H460="Pagas prorrateadas"),1493.61*(F460*G460),AND(D460=7,H460="Pagas no prorrateadas"),1280.24*(F460*G460)))</f>
        <v/>
      </c>
      <c r="K460" s="106" t="str">
        <f aca="false">IF(A460="","",IF(J460-I460&gt;=0,"OK",J460-I460))</f>
        <v/>
      </c>
    </row>
    <row r="461" customFormat="false" ht="14.25" hidden="false" customHeight="true" outlineLevel="0" collapsed="false">
      <c r="A461" s="106"/>
      <c r="B461" s="106"/>
      <c r="C461" s="107"/>
      <c r="D461" s="106"/>
      <c r="E461" s="106"/>
      <c r="F461" s="130" t="str">
        <f aca="false">IF(A461="","",MIN(E461/(37.5),1))</f>
        <v/>
      </c>
      <c r="G461" s="108"/>
      <c r="H461" s="106"/>
      <c r="I461" s="107"/>
      <c r="J461" s="131" t="str">
        <f aca="false" t="array" ref="J461:J461">IF(A461="","",ifs(AND(D461=1,H461="Pagas prorrateadas"),2705.41*(F461*G461),AND(D461=1,H461="Pagas no prorrateadas"),2318.93*(F461*G461),AND(D461=2,H461="Pagas prorrateadas"),2246.07*(F461*G461),AND(D461=2,H461="Pagas no prorrateadas"),1925.21*(F461*G461),AND(D461=3,H461="Pagas prorrateadas"),1775.44*(F461*G461),AND(D461=3,H461="Pagas no prorrateadas"),1521.81*(F461*G461),AND(D461=5,H461="Pagas prorrateadas"),1535.9*(F461*G461),AND(D461=5,H461="Pagas no prorrateadas"),1316.49*(F461*G461),AND(D461=7,H461="Pagas prorrateadas"),1493.61*(F461*G461),AND(D461=7,H461="Pagas no prorrateadas"),1280.24*(F461*G461)))</f>
        <v/>
      </c>
      <c r="K461" s="106" t="str">
        <f aca="false">IF(A461="","",IF(J461-I461&gt;=0,"OK",J461-I461))</f>
        <v/>
      </c>
    </row>
    <row r="462" customFormat="false" ht="14.25" hidden="false" customHeight="true" outlineLevel="0" collapsed="false">
      <c r="A462" s="106"/>
      <c r="B462" s="106"/>
      <c r="C462" s="107"/>
      <c r="D462" s="106"/>
      <c r="E462" s="106"/>
      <c r="F462" s="130" t="str">
        <f aca="false">IF(A462="","",MIN(E462/(37.5),1))</f>
        <v/>
      </c>
      <c r="G462" s="108"/>
      <c r="H462" s="106"/>
      <c r="I462" s="107"/>
      <c r="J462" s="131" t="str">
        <f aca="false" t="array" ref="J462:J462">IF(A462="","",ifs(AND(D462=1,H462="Pagas prorrateadas"),2705.41*(F462*G462),AND(D462=1,H462="Pagas no prorrateadas"),2318.93*(F462*G462),AND(D462=2,H462="Pagas prorrateadas"),2246.07*(F462*G462),AND(D462=2,H462="Pagas no prorrateadas"),1925.21*(F462*G462),AND(D462=3,H462="Pagas prorrateadas"),1775.44*(F462*G462),AND(D462=3,H462="Pagas no prorrateadas"),1521.81*(F462*G462),AND(D462=5,H462="Pagas prorrateadas"),1535.9*(F462*G462),AND(D462=5,H462="Pagas no prorrateadas"),1316.49*(F462*G462),AND(D462=7,H462="Pagas prorrateadas"),1493.61*(F462*G462),AND(D462=7,H462="Pagas no prorrateadas"),1280.24*(F462*G462)))</f>
        <v/>
      </c>
      <c r="K462" s="106" t="str">
        <f aca="false">IF(A462="","",IF(J462-I462&gt;=0,"OK",J462-I462))</f>
        <v/>
      </c>
    </row>
    <row r="463" customFormat="false" ht="14.25" hidden="false" customHeight="true" outlineLevel="0" collapsed="false">
      <c r="A463" s="106"/>
      <c r="B463" s="106"/>
      <c r="C463" s="107"/>
      <c r="D463" s="106"/>
      <c r="E463" s="106"/>
      <c r="F463" s="130" t="str">
        <f aca="false">IF(A463="","",MIN(E463/(37.5),1))</f>
        <v/>
      </c>
      <c r="G463" s="108"/>
      <c r="H463" s="106"/>
      <c r="I463" s="107"/>
      <c r="J463" s="131" t="str">
        <f aca="false" t="array" ref="J463:J463">IF(A463="","",ifs(AND(D463=1,H463="Pagas prorrateadas"),2705.41*(F463*G463),AND(D463=1,H463="Pagas no prorrateadas"),2318.93*(F463*G463),AND(D463=2,H463="Pagas prorrateadas"),2246.07*(F463*G463),AND(D463=2,H463="Pagas no prorrateadas"),1925.21*(F463*G463),AND(D463=3,H463="Pagas prorrateadas"),1775.44*(F463*G463),AND(D463=3,H463="Pagas no prorrateadas"),1521.81*(F463*G463),AND(D463=5,H463="Pagas prorrateadas"),1535.9*(F463*G463),AND(D463=5,H463="Pagas no prorrateadas"),1316.49*(F463*G463),AND(D463=7,H463="Pagas prorrateadas"),1493.61*(F463*G463),AND(D463=7,H463="Pagas no prorrateadas"),1280.24*(F463*G463)))</f>
        <v/>
      </c>
      <c r="K463" s="106" t="str">
        <f aca="false">IF(A463="","",IF(J463-I463&gt;=0,"OK",J463-I463))</f>
        <v/>
      </c>
    </row>
    <row r="464" customFormat="false" ht="14.25" hidden="false" customHeight="true" outlineLevel="0" collapsed="false">
      <c r="A464" s="106"/>
      <c r="B464" s="106"/>
      <c r="C464" s="107"/>
      <c r="D464" s="106"/>
      <c r="E464" s="106"/>
      <c r="F464" s="130" t="str">
        <f aca="false">IF(A464="","",MIN(E464/(37.5),1))</f>
        <v/>
      </c>
      <c r="G464" s="108"/>
      <c r="H464" s="106"/>
      <c r="I464" s="107"/>
      <c r="J464" s="131" t="str">
        <f aca="false" t="array" ref="J464:J464">IF(A464="","",ifs(AND(D464=1,H464="Pagas prorrateadas"),2705.41*(F464*G464),AND(D464=1,H464="Pagas no prorrateadas"),2318.93*(F464*G464),AND(D464=2,H464="Pagas prorrateadas"),2246.07*(F464*G464),AND(D464=2,H464="Pagas no prorrateadas"),1925.21*(F464*G464),AND(D464=3,H464="Pagas prorrateadas"),1775.44*(F464*G464),AND(D464=3,H464="Pagas no prorrateadas"),1521.81*(F464*G464),AND(D464=5,H464="Pagas prorrateadas"),1535.9*(F464*G464),AND(D464=5,H464="Pagas no prorrateadas"),1316.49*(F464*G464),AND(D464=7,H464="Pagas prorrateadas"),1493.61*(F464*G464),AND(D464=7,H464="Pagas no prorrateadas"),1280.24*(F464*G464)))</f>
        <v/>
      </c>
      <c r="K464" s="106" t="str">
        <f aca="false">IF(A464="","",IF(J464-I464&gt;=0,"OK",J464-I464))</f>
        <v/>
      </c>
    </row>
    <row r="465" customFormat="false" ht="14.25" hidden="false" customHeight="true" outlineLevel="0" collapsed="false">
      <c r="A465" s="106"/>
      <c r="B465" s="106"/>
      <c r="C465" s="107"/>
      <c r="D465" s="106"/>
      <c r="E465" s="106"/>
      <c r="F465" s="130" t="str">
        <f aca="false">IF(A465="","",MIN(E465/(37.5),1))</f>
        <v/>
      </c>
      <c r="G465" s="108"/>
      <c r="H465" s="106"/>
      <c r="I465" s="107"/>
      <c r="J465" s="131" t="str">
        <f aca="false" t="array" ref="J465:J465">IF(A465="","",ifs(AND(D465=1,H465="Pagas prorrateadas"),2705.41*(F465*G465),AND(D465=1,H465="Pagas no prorrateadas"),2318.93*(F465*G465),AND(D465=2,H465="Pagas prorrateadas"),2246.07*(F465*G465),AND(D465=2,H465="Pagas no prorrateadas"),1925.21*(F465*G465),AND(D465=3,H465="Pagas prorrateadas"),1775.44*(F465*G465),AND(D465=3,H465="Pagas no prorrateadas"),1521.81*(F465*G465),AND(D465=5,H465="Pagas prorrateadas"),1535.9*(F465*G465),AND(D465=5,H465="Pagas no prorrateadas"),1316.49*(F465*G465),AND(D465=7,H465="Pagas prorrateadas"),1493.61*(F465*G465),AND(D465=7,H465="Pagas no prorrateadas"),1280.24*(F465*G465)))</f>
        <v/>
      </c>
      <c r="K465" s="106" t="str">
        <f aca="false">IF(A465="","",IF(J465-I465&gt;=0,"OK",J465-I465))</f>
        <v/>
      </c>
    </row>
    <row r="466" customFormat="false" ht="14.25" hidden="false" customHeight="true" outlineLevel="0" collapsed="false">
      <c r="A466" s="106"/>
      <c r="B466" s="106"/>
      <c r="C466" s="107"/>
      <c r="D466" s="106"/>
      <c r="E466" s="106"/>
      <c r="F466" s="130" t="str">
        <f aca="false">IF(A466="","",MIN(E466/(37.5),1))</f>
        <v/>
      </c>
      <c r="G466" s="108"/>
      <c r="H466" s="106"/>
      <c r="I466" s="107"/>
      <c r="J466" s="131" t="str">
        <f aca="false" t="array" ref="J466:J466">IF(A466="","",ifs(AND(D466=1,H466="Pagas prorrateadas"),2705.41*(F466*G466),AND(D466=1,H466="Pagas no prorrateadas"),2318.93*(F466*G466),AND(D466=2,H466="Pagas prorrateadas"),2246.07*(F466*G466),AND(D466=2,H466="Pagas no prorrateadas"),1925.21*(F466*G466),AND(D466=3,H466="Pagas prorrateadas"),1775.44*(F466*G466),AND(D466=3,H466="Pagas no prorrateadas"),1521.81*(F466*G466),AND(D466=5,H466="Pagas prorrateadas"),1535.9*(F466*G466),AND(D466=5,H466="Pagas no prorrateadas"),1316.49*(F466*G466),AND(D466=7,H466="Pagas prorrateadas"),1493.61*(F466*G466),AND(D466=7,H466="Pagas no prorrateadas"),1280.24*(F466*G466)))</f>
        <v/>
      </c>
      <c r="K466" s="106" t="str">
        <f aca="false">IF(A466="","",IF(J466-I466&gt;=0,"OK",J466-I466))</f>
        <v/>
      </c>
    </row>
    <row r="467" customFormat="false" ht="14.25" hidden="false" customHeight="true" outlineLevel="0" collapsed="false">
      <c r="A467" s="106"/>
      <c r="B467" s="106"/>
      <c r="C467" s="107"/>
      <c r="D467" s="106"/>
      <c r="E467" s="106"/>
      <c r="F467" s="130" t="str">
        <f aca="false">IF(A467="","",MIN(E467/(37.5),1))</f>
        <v/>
      </c>
      <c r="G467" s="108"/>
      <c r="H467" s="106"/>
      <c r="I467" s="107"/>
      <c r="J467" s="131" t="str">
        <f aca="false" t="array" ref="J467:J467">IF(A467="","",ifs(AND(D467=1,H467="Pagas prorrateadas"),2705.41*(F467*G467),AND(D467=1,H467="Pagas no prorrateadas"),2318.93*(F467*G467),AND(D467=2,H467="Pagas prorrateadas"),2246.07*(F467*G467),AND(D467=2,H467="Pagas no prorrateadas"),1925.21*(F467*G467),AND(D467=3,H467="Pagas prorrateadas"),1775.44*(F467*G467),AND(D467=3,H467="Pagas no prorrateadas"),1521.81*(F467*G467),AND(D467=5,H467="Pagas prorrateadas"),1535.9*(F467*G467),AND(D467=5,H467="Pagas no prorrateadas"),1316.49*(F467*G467),AND(D467=7,H467="Pagas prorrateadas"),1493.61*(F467*G467),AND(D467=7,H467="Pagas no prorrateadas"),1280.24*(F467*G467)))</f>
        <v/>
      </c>
      <c r="K467" s="106" t="str">
        <f aca="false">IF(A467="","",IF(J467-I467&gt;=0,"OK",J467-I467))</f>
        <v/>
      </c>
    </row>
    <row r="468" customFormat="false" ht="14.25" hidden="false" customHeight="true" outlineLevel="0" collapsed="false">
      <c r="A468" s="106"/>
      <c r="B468" s="106"/>
      <c r="C468" s="107"/>
      <c r="D468" s="106"/>
      <c r="E468" s="106"/>
      <c r="F468" s="130" t="str">
        <f aca="false">IF(A468="","",MIN(E468/(37.5),1))</f>
        <v/>
      </c>
      <c r="G468" s="108"/>
      <c r="H468" s="106"/>
      <c r="I468" s="107"/>
      <c r="J468" s="131" t="str">
        <f aca="false" t="array" ref="J468:J468">IF(A468="","",ifs(AND(D468=1,H468="Pagas prorrateadas"),2705.41*(F468*G468),AND(D468=1,H468="Pagas no prorrateadas"),2318.93*(F468*G468),AND(D468=2,H468="Pagas prorrateadas"),2246.07*(F468*G468),AND(D468=2,H468="Pagas no prorrateadas"),1925.21*(F468*G468),AND(D468=3,H468="Pagas prorrateadas"),1775.44*(F468*G468),AND(D468=3,H468="Pagas no prorrateadas"),1521.81*(F468*G468),AND(D468=5,H468="Pagas prorrateadas"),1535.9*(F468*G468),AND(D468=5,H468="Pagas no prorrateadas"),1316.49*(F468*G468),AND(D468=7,H468="Pagas prorrateadas"),1493.61*(F468*G468),AND(D468=7,H468="Pagas no prorrateadas"),1280.24*(F468*G468)))</f>
        <v/>
      </c>
      <c r="K468" s="106" t="str">
        <f aca="false">IF(A468="","",IF(J468-I468&gt;=0,"OK",J468-I468))</f>
        <v/>
      </c>
    </row>
    <row r="469" customFormat="false" ht="14.25" hidden="false" customHeight="true" outlineLevel="0" collapsed="false">
      <c r="A469" s="106"/>
      <c r="B469" s="106"/>
      <c r="C469" s="107"/>
      <c r="D469" s="106"/>
      <c r="E469" s="106"/>
      <c r="F469" s="130" t="str">
        <f aca="false">IF(A469="","",MIN(E469/(37.5),1))</f>
        <v/>
      </c>
      <c r="G469" s="108"/>
      <c r="H469" s="106"/>
      <c r="I469" s="107"/>
      <c r="J469" s="131" t="str">
        <f aca="false" t="array" ref="J469:J469">IF(A469="","",ifs(AND(D469=1,H469="Pagas prorrateadas"),2705.41*(F469*G469),AND(D469=1,H469="Pagas no prorrateadas"),2318.93*(F469*G469),AND(D469=2,H469="Pagas prorrateadas"),2246.07*(F469*G469),AND(D469=2,H469="Pagas no prorrateadas"),1925.21*(F469*G469),AND(D469=3,H469="Pagas prorrateadas"),1775.44*(F469*G469),AND(D469=3,H469="Pagas no prorrateadas"),1521.81*(F469*G469),AND(D469=5,H469="Pagas prorrateadas"),1535.9*(F469*G469),AND(D469=5,H469="Pagas no prorrateadas"),1316.49*(F469*G469),AND(D469=7,H469="Pagas prorrateadas"),1493.61*(F469*G469),AND(D469=7,H469="Pagas no prorrateadas"),1280.24*(F469*G469)))</f>
        <v/>
      </c>
      <c r="K469" s="106" t="str">
        <f aca="false">IF(A469="","",IF(J469-I469&gt;=0,"OK",J469-I469))</f>
        <v/>
      </c>
    </row>
    <row r="470" customFormat="false" ht="14.25" hidden="false" customHeight="true" outlineLevel="0" collapsed="false">
      <c r="A470" s="106"/>
      <c r="B470" s="106"/>
      <c r="C470" s="107"/>
      <c r="D470" s="106"/>
      <c r="E470" s="106"/>
      <c r="F470" s="130" t="str">
        <f aca="false">IF(A470="","",MIN(E470/(37.5),1))</f>
        <v/>
      </c>
      <c r="G470" s="108"/>
      <c r="H470" s="106"/>
      <c r="I470" s="107"/>
      <c r="J470" s="131" t="str">
        <f aca="false" t="array" ref="J470:J470">IF(A470="","",ifs(AND(D470=1,H470="Pagas prorrateadas"),2705.41*(F470*G470),AND(D470=1,H470="Pagas no prorrateadas"),2318.93*(F470*G470),AND(D470=2,H470="Pagas prorrateadas"),2246.07*(F470*G470),AND(D470=2,H470="Pagas no prorrateadas"),1925.21*(F470*G470),AND(D470=3,H470="Pagas prorrateadas"),1775.44*(F470*G470),AND(D470=3,H470="Pagas no prorrateadas"),1521.81*(F470*G470),AND(D470=5,H470="Pagas prorrateadas"),1535.9*(F470*G470),AND(D470=5,H470="Pagas no prorrateadas"),1316.49*(F470*G470),AND(D470=7,H470="Pagas prorrateadas"),1493.61*(F470*G470),AND(D470=7,H470="Pagas no prorrateadas"),1280.24*(F470*G470)))</f>
        <v/>
      </c>
      <c r="K470" s="106" t="str">
        <f aca="false">IF(A470="","",IF(J470-I470&gt;=0,"OK",J470-I470))</f>
        <v/>
      </c>
    </row>
    <row r="471" customFormat="false" ht="14.25" hidden="false" customHeight="true" outlineLevel="0" collapsed="false">
      <c r="A471" s="106"/>
      <c r="B471" s="106"/>
      <c r="C471" s="107"/>
      <c r="D471" s="106"/>
      <c r="E471" s="106"/>
      <c r="F471" s="130" t="str">
        <f aca="false">IF(A471="","",MIN(E471/(37.5),1))</f>
        <v/>
      </c>
      <c r="G471" s="108"/>
      <c r="H471" s="106"/>
      <c r="I471" s="107"/>
      <c r="J471" s="131" t="str">
        <f aca="false" t="array" ref="J471:J471">IF(A471="","",ifs(AND(D471=1,H471="Pagas prorrateadas"),2705.41*(F471*G471),AND(D471=1,H471="Pagas no prorrateadas"),2318.93*(F471*G471),AND(D471=2,H471="Pagas prorrateadas"),2246.07*(F471*G471),AND(D471=2,H471="Pagas no prorrateadas"),1925.21*(F471*G471),AND(D471=3,H471="Pagas prorrateadas"),1775.44*(F471*G471),AND(D471=3,H471="Pagas no prorrateadas"),1521.81*(F471*G471),AND(D471=5,H471="Pagas prorrateadas"),1535.9*(F471*G471),AND(D471=5,H471="Pagas no prorrateadas"),1316.49*(F471*G471),AND(D471=7,H471="Pagas prorrateadas"),1493.61*(F471*G471),AND(D471=7,H471="Pagas no prorrateadas"),1280.24*(F471*G471)))</f>
        <v/>
      </c>
      <c r="K471" s="106" t="str">
        <f aca="false">IF(A471="","",IF(J471-I471&gt;=0,"OK",J471-I471))</f>
        <v/>
      </c>
    </row>
    <row r="472" customFormat="false" ht="14.25" hidden="false" customHeight="true" outlineLevel="0" collapsed="false">
      <c r="A472" s="106"/>
      <c r="B472" s="106"/>
      <c r="C472" s="107"/>
      <c r="D472" s="106"/>
      <c r="E472" s="106"/>
      <c r="F472" s="130" t="str">
        <f aca="false">IF(A472="","",MIN(E472/(37.5),1))</f>
        <v/>
      </c>
      <c r="G472" s="108"/>
      <c r="H472" s="106"/>
      <c r="I472" s="107"/>
      <c r="J472" s="131" t="str">
        <f aca="false" t="array" ref="J472:J472">IF(A472="","",ifs(AND(D472=1,H472="Pagas prorrateadas"),2705.41*(F472*G472),AND(D472=1,H472="Pagas no prorrateadas"),2318.93*(F472*G472),AND(D472=2,H472="Pagas prorrateadas"),2246.07*(F472*G472),AND(D472=2,H472="Pagas no prorrateadas"),1925.21*(F472*G472),AND(D472=3,H472="Pagas prorrateadas"),1775.44*(F472*G472),AND(D472=3,H472="Pagas no prorrateadas"),1521.81*(F472*G472),AND(D472=5,H472="Pagas prorrateadas"),1535.9*(F472*G472),AND(D472=5,H472="Pagas no prorrateadas"),1316.49*(F472*G472),AND(D472=7,H472="Pagas prorrateadas"),1493.61*(F472*G472),AND(D472=7,H472="Pagas no prorrateadas"),1280.24*(F472*G472)))</f>
        <v/>
      </c>
      <c r="K472" s="106" t="str">
        <f aca="false">IF(A472="","",IF(J472-I472&gt;=0,"OK",J472-I472))</f>
        <v/>
      </c>
    </row>
    <row r="473" customFormat="false" ht="14.25" hidden="false" customHeight="true" outlineLevel="0" collapsed="false">
      <c r="A473" s="106"/>
      <c r="B473" s="106"/>
      <c r="C473" s="107"/>
      <c r="D473" s="106"/>
      <c r="E473" s="106"/>
      <c r="F473" s="130" t="str">
        <f aca="false">IF(A473="","",MIN(E473/(37.5),1))</f>
        <v/>
      </c>
      <c r="G473" s="108"/>
      <c r="H473" s="106"/>
      <c r="I473" s="107"/>
      <c r="J473" s="131" t="str">
        <f aca="false" t="array" ref="J473:J473">IF(A473="","",ifs(AND(D473=1,H473="Pagas prorrateadas"),2705.41*(F473*G473),AND(D473=1,H473="Pagas no prorrateadas"),2318.93*(F473*G473),AND(D473=2,H473="Pagas prorrateadas"),2246.07*(F473*G473),AND(D473=2,H473="Pagas no prorrateadas"),1925.21*(F473*G473),AND(D473=3,H473="Pagas prorrateadas"),1775.44*(F473*G473),AND(D473=3,H473="Pagas no prorrateadas"),1521.81*(F473*G473),AND(D473=5,H473="Pagas prorrateadas"),1535.9*(F473*G473),AND(D473=5,H473="Pagas no prorrateadas"),1316.49*(F473*G473),AND(D473=7,H473="Pagas prorrateadas"),1493.61*(F473*G473),AND(D473=7,H473="Pagas no prorrateadas"),1280.24*(F473*G473)))</f>
        <v/>
      </c>
      <c r="K473" s="106" t="str">
        <f aca="false">IF(A473="","",IF(J473-I473&gt;=0,"OK",J473-I473))</f>
        <v/>
      </c>
    </row>
    <row r="474" customFormat="false" ht="14.25" hidden="false" customHeight="true" outlineLevel="0" collapsed="false">
      <c r="A474" s="106"/>
      <c r="B474" s="106"/>
      <c r="C474" s="107"/>
      <c r="D474" s="106"/>
      <c r="E474" s="106"/>
      <c r="F474" s="130" t="str">
        <f aca="false">IF(A474="","",MIN(E474/(37.5),1))</f>
        <v/>
      </c>
      <c r="G474" s="108"/>
      <c r="H474" s="106"/>
      <c r="I474" s="107"/>
      <c r="J474" s="131" t="str">
        <f aca="false" t="array" ref="J474:J474">IF(A474="","",ifs(AND(D474=1,H474="Pagas prorrateadas"),2705.41*(F474*G474),AND(D474=1,H474="Pagas no prorrateadas"),2318.93*(F474*G474),AND(D474=2,H474="Pagas prorrateadas"),2246.07*(F474*G474),AND(D474=2,H474="Pagas no prorrateadas"),1925.21*(F474*G474),AND(D474=3,H474="Pagas prorrateadas"),1775.44*(F474*G474),AND(D474=3,H474="Pagas no prorrateadas"),1521.81*(F474*G474),AND(D474=5,H474="Pagas prorrateadas"),1535.9*(F474*G474),AND(D474=5,H474="Pagas no prorrateadas"),1316.49*(F474*G474),AND(D474=7,H474="Pagas prorrateadas"),1493.61*(F474*G474),AND(D474=7,H474="Pagas no prorrateadas"),1280.24*(F474*G474)))</f>
        <v/>
      </c>
      <c r="K474" s="106" t="str">
        <f aca="false">IF(A474="","",IF(J474-I474&gt;=0,"OK",J474-I474))</f>
        <v/>
      </c>
    </row>
    <row r="475" customFormat="false" ht="14.25" hidden="false" customHeight="true" outlineLevel="0" collapsed="false">
      <c r="A475" s="106"/>
      <c r="B475" s="106"/>
      <c r="C475" s="107"/>
      <c r="D475" s="106"/>
      <c r="E475" s="106"/>
      <c r="F475" s="130" t="str">
        <f aca="false">IF(A475="","",MIN(E475/(37.5),1))</f>
        <v/>
      </c>
      <c r="G475" s="108"/>
      <c r="H475" s="106"/>
      <c r="I475" s="107"/>
      <c r="J475" s="131" t="str">
        <f aca="false" t="array" ref="J475:J475">IF(A475="","",ifs(AND(D475=1,H475="Pagas prorrateadas"),2705.41*(F475*G475),AND(D475=1,H475="Pagas no prorrateadas"),2318.93*(F475*G475),AND(D475=2,H475="Pagas prorrateadas"),2246.07*(F475*G475),AND(D475=2,H475="Pagas no prorrateadas"),1925.21*(F475*G475),AND(D475=3,H475="Pagas prorrateadas"),1775.44*(F475*G475),AND(D475=3,H475="Pagas no prorrateadas"),1521.81*(F475*G475),AND(D475=5,H475="Pagas prorrateadas"),1535.9*(F475*G475),AND(D475=5,H475="Pagas no prorrateadas"),1316.49*(F475*G475),AND(D475=7,H475="Pagas prorrateadas"),1493.61*(F475*G475),AND(D475=7,H475="Pagas no prorrateadas"),1280.24*(F475*G475)))</f>
        <v/>
      </c>
      <c r="K475" s="106" t="str">
        <f aca="false">IF(A475="","",IF(J475-I475&gt;=0,"OK",J475-I475))</f>
        <v/>
      </c>
    </row>
    <row r="476" customFormat="false" ht="14.25" hidden="false" customHeight="true" outlineLevel="0" collapsed="false">
      <c r="A476" s="106"/>
      <c r="B476" s="106"/>
      <c r="C476" s="107"/>
      <c r="D476" s="106"/>
      <c r="E476" s="106"/>
      <c r="F476" s="130" t="str">
        <f aca="false">IF(A476="","",MIN(E476/(37.5),1))</f>
        <v/>
      </c>
      <c r="G476" s="108"/>
      <c r="H476" s="106"/>
      <c r="I476" s="107"/>
      <c r="J476" s="131" t="str">
        <f aca="false" t="array" ref="J476:J476">IF(A476="","",ifs(AND(D476=1,H476="Pagas prorrateadas"),2705.41*(F476*G476),AND(D476=1,H476="Pagas no prorrateadas"),2318.93*(F476*G476),AND(D476=2,H476="Pagas prorrateadas"),2246.07*(F476*G476),AND(D476=2,H476="Pagas no prorrateadas"),1925.21*(F476*G476),AND(D476=3,H476="Pagas prorrateadas"),1775.44*(F476*G476),AND(D476=3,H476="Pagas no prorrateadas"),1521.81*(F476*G476),AND(D476=5,H476="Pagas prorrateadas"),1535.9*(F476*G476),AND(D476=5,H476="Pagas no prorrateadas"),1316.49*(F476*G476),AND(D476=7,H476="Pagas prorrateadas"),1493.61*(F476*G476),AND(D476=7,H476="Pagas no prorrateadas"),1280.24*(F476*G476)))</f>
        <v/>
      </c>
      <c r="K476" s="106" t="str">
        <f aca="false">IF(A476="","",IF(J476-I476&gt;=0,"OK",J476-I476))</f>
        <v/>
      </c>
    </row>
    <row r="477" customFormat="false" ht="14.25" hidden="false" customHeight="true" outlineLevel="0" collapsed="false">
      <c r="A477" s="106"/>
      <c r="B477" s="106"/>
      <c r="C477" s="107"/>
      <c r="D477" s="106"/>
      <c r="E477" s="106"/>
      <c r="F477" s="130" t="str">
        <f aca="false">IF(A477="","",MIN(E477/(37.5),1))</f>
        <v/>
      </c>
      <c r="G477" s="108"/>
      <c r="H477" s="106"/>
      <c r="I477" s="107"/>
      <c r="J477" s="131" t="str">
        <f aca="false" t="array" ref="J477:J477">IF(A477="","",ifs(AND(D477=1,H477="Pagas prorrateadas"),2705.41*(F477*G477),AND(D477=1,H477="Pagas no prorrateadas"),2318.93*(F477*G477),AND(D477=2,H477="Pagas prorrateadas"),2246.07*(F477*G477),AND(D477=2,H477="Pagas no prorrateadas"),1925.21*(F477*G477),AND(D477=3,H477="Pagas prorrateadas"),1775.44*(F477*G477),AND(D477=3,H477="Pagas no prorrateadas"),1521.81*(F477*G477),AND(D477=5,H477="Pagas prorrateadas"),1535.9*(F477*G477),AND(D477=5,H477="Pagas no prorrateadas"),1316.49*(F477*G477),AND(D477=7,H477="Pagas prorrateadas"),1493.61*(F477*G477),AND(D477=7,H477="Pagas no prorrateadas"),1280.24*(F477*G477)))</f>
        <v/>
      </c>
      <c r="K477" s="106" t="str">
        <f aca="false">IF(A477="","",IF(J477-I477&gt;=0,"OK",J477-I477))</f>
        <v/>
      </c>
    </row>
    <row r="478" customFormat="false" ht="14.25" hidden="false" customHeight="true" outlineLevel="0" collapsed="false">
      <c r="A478" s="106"/>
      <c r="B478" s="106"/>
      <c r="C478" s="107"/>
      <c r="D478" s="106"/>
      <c r="E478" s="106"/>
      <c r="F478" s="130" t="str">
        <f aca="false">IF(A478="","",MIN(E478/(37.5),1))</f>
        <v/>
      </c>
      <c r="G478" s="108"/>
      <c r="H478" s="106"/>
      <c r="I478" s="107"/>
      <c r="J478" s="131" t="str">
        <f aca="false" t="array" ref="J478:J478">IF(A478="","",ifs(AND(D478=1,H478="Pagas prorrateadas"),2705.41*(F478*G478),AND(D478=1,H478="Pagas no prorrateadas"),2318.93*(F478*G478),AND(D478=2,H478="Pagas prorrateadas"),2246.07*(F478*G478),AND(D478=2,H478="Pagas no prorrateadas"),1925.21*(F478*G478),AND(D478=3,H478="Pagas prorrateadas"),1775.44*(F478*G478),AND(D478=3,H478="Pagas no prorrateadas"),1521.81*(F478*G478),AND(D478=5,H478="Pagas prorrateadas"),1535.9*(F478*G478),AND(D478=5,H478="Pagas no prorrateadas"),1316.49*(F478*G478),AND(D478=7,H478="Pagas prorrateadas"),1493.61*(F478*G478),AND(D478=7,H478="Pagas no prorrateadas"),1280.24*(F478*G478)))</f>
        <v/>
      </c>
      <c r="K478" s="106" t="str">
        <f aca="false">IF(A478="","",IF(J478-I478&gt;=0,"OK",J478-I478))</f>
        <v/>
      </c>
    </row>
    <row r="479" customFormat="false" ht="14.25" hidden="false" customHeight="true" outlineLevel="0" collapsed="false">
      <c r="A479" s="106"/>
      <c r="B479" s="106"/>
      <c r="C479" s="107"/>
      <c r="D479" s="106"/>
      <c r="E479" s="106"/>
      <c r="F479" s="130" t="str">
        <f aca="false">IF(A479="","",MIN(E479/(37.5),1))</f>
        <v/>
      </c>
      <c r="G479" s="108"/>
      <c r="H479" s="106"/>
      <c r="I479" s="107"/>
      <c r="J479" s="131" t="str">
        <f aca="false" t="array" ref="J479:J479">IF(A479="","",ifs(AND(D479=1,H479="Pagas prorrateadas"),2705.41*(F479*G479),AND(D479=1,H479="Pagas no prorrateadas"),2318.93*(F479*G479),AND(D479=2,H479="Pagas prorrateadas"),2246.07*(F479*G479),AND(D479=2,H479="Pagas no prorrateadas"),1925.21*(F479*G479),AND(D479=3,H479="Pagas prorrateadas"),1775.44*(F479*G479),AND(D479=3,H479="Pagas no prorrateadas"),1521.81*(F479*G479),AND(D479=5,H479="Pagas prorrateadas"),1535.9*(F479*G479),AND(D479=5,H479="Pagas no prorrateadas"),1316.49*(F479*G479),AND(D479=7,H479="Pagas prorrateadas"),1493.61*(F479*G479),AND(D479=7,H479="Pagas no prorrateadas"),1280.24*(F479*G479)))</f>
        <v/>
      </c>
      <c r="K479" s="106" t="str">
        <f aca="false">IF(A479="","",IF(J479-I479&gt;=0,"OK",J479-I479))</f>
        <v/>
      </c>
    </row>
    <row r="480" customFormat="false" ht="14.25" hidden="false" customHeight="true" outlineLevel="0" collapsed="false">
      <c r="A480" s="106"/>
      <c r="B480" s="106"/>
      <c r="C480" s="107"/>
      <c r="D480" s="106"/>
      <c r="E480" s="106"/>
      <c r="F480" s="130" t="str">
        <f aca="false">IF(A480="","",MIN(E480/(37.5),1))</f>
        <v/>
      </c>
      <c r="G480" s="108"/>
      <c r="H480" s="106"/>
      <c r="I480" s="107"/>
      <c r="J480" s="131" t="str">
        <f aca="false" t="array" ref="J480:J480">IF(A480="","",ifs(AND(D480=1,H480="Pagas prorrateadas"),2705.41*(F480*G480),AND(D480=1,H480="Pagas no prorrateadas"),2318.93*(F480*G480),AND(D480=2,H480="Pagas prorrateadas"),2246.07*(F480*G480),AND(D480=2,H480="Pagas no prorrateadas"),1925.21*(F480*G480),AND(D480=3,H480="Pagas prorrateadas"),1775.44*(F480*G480),AND(D480=3,H480="Pagas no prorrateadas"),1521.81*(F480*G480),AND(D480=5,H480="Pagas prorrateadas"),1535.9*(F480*G480),AND(D480=5,H480="Pagas no prorrateadas"),1316.49*(F480*G480),AND(D480=7,H480="Pagas prorrateadas"),1493.61*(F480*G480),AND(D480=7,H480="Pagas no prorrateadas"),1280.24*(F480*G480)))</f>
        <v/>
      </c>
      <c r="K480" s="106" t="str">
        <f aca="false">IF(A480="","",IF(J480-I480&gt;=0,"OK",J480-I480))</f>
        <v/>
      </c>
    </row>
    <row r="481" customFormat="false" ht="14.25" hidden="false" customHeight="true" outlineLevel="0" collapsed="false">
      <c r="A481" s="106"/>
      <c r="B481" s="106"/>
      <c r="C481" s="107"/>
      <c r="D481" s="106"/>
      <c r="E481" s="106"/>
      <c r="F481" s="130" t="str">
        <f aca="false">IF(A481="","",MIN(E481/(37.5),1))</f>
        <v/>
      </c>
      <c r="G481" s="108"/>
      <c r="H481" s="106"/>
      <c r="I481" s="107"/>
      <c r="J481" s="131" t="str">
        <f aca="false" t="array" ref="J481:J481">IF(A481="","",ifs(AND(D481=1,H481="Pagas prorrateadas"),2705.41*(F481*G481),AND(D481=1,H481="Pagas no prorrateadas"),2318.93*(F481*G481),AND(D481=2,H481="Pagas prorrateadas"),2246.07*(F481*G481),AND(D481=2,H481="Pagas no prorrateadas"),1925.21*(F481*G481),AND(D481=3,H481="Pagas prorrateadas"),1775.44*(F481*G481),AND(D481=3,H481="Pagas no prorrateadas"),1521.81*(F481*G481),AND(D481=5,H481="Pagas prorrateadas"),1535.9*(F481*G481),AND(D481=5,H481="Pagas no prorrateadas"),1316.49*(F481*G481),AND(D481=7,H481="Pagas prorrateadas"),1493.61*(F481*G481),AND(D481=7,H481="Pagas no prorrateadas"),1280.24*(F481*G481)))</f>
        <v/>
      </c>
      <c r="K481" s="106" t="str">
        <f aca="false">IF(A481="","",IF(J481-I481&gt;=0,"OK",J481-I481))</f>
        <v/>
      </c>
    </row>
    <row r="482" customFormat="false" ht="14.25" hidden="false" customHeight="true" outlineLevel="0" collapsed="false">
      <c r="A482" s="106"/>
      <c r="B482" s="106"/>
      <c r="C482" s="107"/>
      <c r="D482" s="106"/>
      <c r="E482" s="106"/>
      <c r="F482" s="130" t="str">
        <f aca="false">IF(A482="","",MIN(E482/(37.5),1))</f>
        <v/>
      </c>
      <c r="G482" s="108"/>
      <c r="H482" s="106"/>
      <c r="I482" s="107"/>
      <c r="J482" s="131" t="str">
        <f aca="false" t="array" ref="J482:J482">IF(A482="","",ifs(AND(D482=1,H482="Pagas prorrateadas"),2705.41*(F482*G482),AND(D482=1,H482="Pagas no prorrateadas"),2318.93*(F482*G482),AND(D482=2,H482="Pagas prorrateadas"),2246.07*(F482*G482),AND(D482=2,H482="Pagas no prorrateadas"),1925.21*(F482*G482),AND(D482=3,H482="Pagas prorrateadas"),1775.44*(F482*G482),AND(D482=3,H482="Pagas no prorrateadas"),1521.81*(F482*G482),AND(D482=5,H482="Pagas prorrateadas"),1535.9*(F482*G482),AND(D482=5,H482="Pagas no prorrateadas"),1316.49*(F482*G482),AND(D482=7,H482="Pagas prorrateadas"),1493.61*(F482*G482),AND(D482=7,H482="Pagas no prorrateadas"),1280.24*(F482*G482)))</f>
        <v/>
      </c>
      <c r="K482" s="106" t="str">
        <f aca="false">IF(A482="","",IF(J482-I482&gt;=0,"OK",J482-I482))</f>
        <v/>
      </c>
    </row>
    <row r="483" customFormat="false" ht="14.25" hidden="false" customHeight="true" outlineLevel="0" collapsed="false">
      <c r="A483" s="106"/>
      <c r="B483" s="106"/>
      <c r="C483" s="107"/>
      <c r="D483" s="106"/>
      <c r="E483" s="106"/>
      <c r="F483" s="130" t="str">
        <f aca="false">IF(A483="","",MIN(E483/(37.5),1))</f>
        <v/>
      </c>
      <c r="G483" s="108"/>
      <c r="H483" s="106"/>
      <c r="I483" s="107"/>
      <c r="J483" s="131" t="str">
        <f aca="false" t="array" ref="J483:J483">IF(A483="","",ifs(AND(D483=1,H483="Pagas prorrateadas"),2705.41*(F483*G483),AND(D483=1,H483="Pagas no prorrateadas"),2318.93*(F483*G483),AND(D483=2,H483="Pagas prorrateadas"),2246.07*(F483*G483),AND(D483=2,H483="Pagas no prorrateadas"),1925.21*(F483*G483),AND(D483=3,H483="Pagas prorrateadas"),1775.44*(F483*G483),AND(D483=3,H483="Pagas no prorrateadas"),1521.81*(F483*G483),AND(D483=5,H483="Pagas prorrateadas"),1535.9*(F483*G483),AND(D483=5,H483="Pagas no prorrateadas"),1316.49*(F483*G483),AND(D483=7,H483="Pagas prorrateadas"),1493.61*(F483*G483),AND(D483=7,H483="Pagas no prorrateadas"),1280.24*(F483*G483)))</f>
        <v/>
      </c>
      <c r="K483" s="106" t="str">
        <f aca="false">IF(A483="","",IF(J483-I483&gt;=0,"OK",J483-I483))</f>
        <v/>
      </c>
    </row>
    <row r="484" customFormat="false" ht="14.25" hidden="false" customHeight="true" outlineLevel="0" collapsed="false">
      <c r="A484" s="106"/>
      <c r="B484" s="106"/>
      <c r="C484" s="107"/>
      <c r="D484" s="106"/>
      <c r="E484" s="106"/>
      <c r="F484" s="130" t="str">
        <f aca="false">IF(A484="","",MIN(E484/(37.5),1))</f>
        <v/>
      </c>
      <c r="G484" s="108"/>
      <c r="H484" s="106"/>
      <c r="I484" s="107"/>
      <c r="J484" s="131" t="str">
        <f aca="false" t="array" ref="J484:J484">IF(A484="","",ifs(AND(D484=1,H484="Pagas prorrateadas"),2705.41*(F484*G484),AND(D484=1,H484="Pagas no prorrateadas"),2318.93*(F484*G484),AND(D484=2,H484="Pagas prorrateadas"),2246.07*(F484*G484),AND(D484=2,H484="Pagas no prorrateadas"),1925.21*(F484*G484),AND(D484=3,H484="Pagas prorrateadas"),1775.44*(F484*G484),AND(D484=3,H484="Pagas no prorrateadas"),1521.81*(F484*G484),AND(D484=5,H484="Pagas prorrateadas"),1535.9*(F484*G484),AND(D484=5,H484="Pagas no prorrateadas"),1316.49*(F484*G484),AND(D484=7,H484="Pagas prorrateadas"),1493.61*(F484*G484),AND(D484=7,H484="Pagas no prorrateadas"),1280.24*(F484*G484)))</f>
        <v/>
      </c>
      <c r="K484" s="106" t="str">
        <f aca="false">IF(A484="","",IF(J484-I484&gt;=0,"OK",J484-I484))</f>
        <v/>
      </c>
    </row>
    <row r="485" customFormat="false" ht="14.25" hidden="false" customHeight="true" outlineLevel="0" collapsed="false">
      <c r="A485" s="106"/>
      <c r="B485" s="106"/>
      <c r="C485" s="107"/>
      <c r="D485" s="106"/>
      <c r="E485" s="106"/>
      <c r="F485" s="130" t="str">
        <f aca="false">IF(A485="","",MIN(E485/(37.5),1))</f>
        <v/>
      </c>
      <c r="G485" s="108"/>
      <c r="H485" s="106"/>
      <c r="I485" s="107"/>
      <c r="J485" s="131" t="str">
        <f aca="false" t="array" ref="J485:J485">IF(A485="","",ifs(AND(D485=1,H485="Pagas prorrateadas"),2705.41*(F485*G485),AND(D485=1,H485="Pagas no prorrateadas"),2318.93*(F485*G485),AND(D485=2,H485="Pagas prorrateadas"),2246.07*(F485*G485),AND(D485=2,H485="Pagas no prorrateadas"),1925.21*(F485*G485),AND(D485=3,H485="Pagas prorrateadas"),1775.44*(F485*G485),AND(D485=3,H485="Pagas no prorrateadas"),1521.81*(F485*G485),AND(D485=5,H485="Pagas prorrateadas"),1535.9*(F485*G485),AND(D485=5,H485="Pagas no prorrateadas"),1316.49*(F485*G485),AND(D485=7,H485="Pagas prorrateadas"),1493.61*(F485*G485),AND(D485=7,H485="Pagas no prorrateadas"),1280.24*(F485*G485)))</f>
        <v/>
      </c>
      <c r="K485" s="106" t="str">
        <f aca="false">IF(A485="","",IF(J485-I485&gt;=0,"OK",J485-I485))</f>
        <v/>
      </c>
    </row>
    <row r="486" customFormat="false" ht="14.25" hidden="false" customHeight="true" outlineLevel="0" collapsed="false">
      <c r="A486" s="106"/>
      <c r="B486" s="106"/>
      <c r="C486" s="107"/>
      <c r="D486" s="106"/>
      <c r="E486" s="106"/>
      <c r="F486" s="130" t="str">
        <f aca="false">IF(A486="","",MIN(E486/(37.5),1))</f>
        <v/>
      </c>
      <c r="G486" s="108"/>
      <c r="H486" s="106"/>
      <c r="I486" s="107"/>
      <c r="J486" s="131" t="str">
        <f aca="false" t="array" ref="J486:J486">IF(A486="","",ifs(AND(D486=1,H486="Pagas prorrateadas"),2705.41*(F486*G486),AND(D486=1,H486="Pagas no prorrateadas"),2318.93*(F486*G486),AND(D486=2,H486="Pagas prorrateadas"),2246.07*(F486*G486),AND(D486=2,H486="Pagas no prorrateadas"),1925.21*(F486*G486),AND(D486=3,H486="Pagas prorrateadas"),1775.44*(F486*G486),AND(D486=3,H486="Pagas no prorrateadas"),1521.81*(F486*G486),AND(D486=5,H486="Pagas prorrateadas"),1535.9*(F486*G486),AND(D486=5,H486="Pagas no prorrateadas"),1316.49*(F486*G486),AND(D486=7,H486="Pagas prorrateadas"),1493.61*(F486*G486),AND(D486=7,H486="Pagas no prorrateadas"),1280.24*(F486*G486)))</f>
        <v/>
      </c>
      <c r="K486" s="106" t="str">
        <f aca="false">IF(A486="","",IF(J486-I486&gt;=0,"OK",J486-I486))</f>
        <v/>
      </c>
    </row>
    <row r="487" customFormat="false" ht="14.25" hidden="false" customHeight="true" outlineLevel="0" collapsed="false">
      <c r="A487" s="106"/>
      <c r="B487" s="106"/>
      <c r="C487" s="107"/>
      <c r="D487" s="106"/>
      <c r="E487" s="106"/>
      <c r="F487" s="130" t="str">
        <f aca="false">IF(A487="","",MIN(E487/(37.5),1))</f>
        <v/>
      </c>
      <c r="G487" s="108"/>
      <c r="H487" s="106"/>
      <c r="I487" s="107"/>
      <c r="J487" s="131" t="str">
        <f aca="false" t="array" ref="J487:J487">IF(A487="","",ifs(AND(D487=1,H487="Pagas prorrateadas"),2705.41*(F487*G487),AND(D487=1,H487="Pagas no prorrateadas"),2318.93*(F487*G487),AND(D487=2,H487="Pagas prorrateadas"),2246.07*(F487*G487),AND(D487=2,H487="Pagas no prorrateadas"),1925.21*(F487*G487),AND(D487=3,H487="Pagas prorrateadas"),1775.44*(F487*G487),AND(D487=3,H487="Pagas no prorrateadas"),1521.81*(F487*G487),AND(D487=5,H487="Pagas prorrateadas"),1535.9*(F487*G487),AND(D487=5,H487="Pagas no prorrateadas"),1316.49*(F487*G487),AND(D487=7,H487="Pagas prorrateadas"),1493.61*(F487*G487),AND(D487=7,H487="Pagas no prorrateadas"),1280.24*(F487*G487)))</f>
        <v/>
      </c>
      <c r="K487" s="106" t="str">
        <f aca="false">IF(A487="","",IF(J487-I487&gt;=0,"OK",J487-I487))</f>
        <v/>
      </c>
    </row>
    <row r="488" customFormat="false" ht="14.25" hidden="false" customHeight="true" outlineLevel="0" collapsed="false">
      <c r="A488" s="106"/>
      <c r="B488" s="106"/>
      <c r="C488" s="107"/>
      <c r="D488" s="106"/>
      <c r="E488" s="106"/>
      <c r="F488" s="130" t="str">
        <f aca="false">IF(A488="","",MIN(E488/(37.5),1))</f>
        <v/>
      </c>
      <c r="G488" s="108"/>
      <c r="H488" s="106"/>
      <c r="I488" s="107"/>
      <c r="J488" s="131" t="str">
        <f aca="false" t="array" ref="J488:J488">IF(A488="","",ifs(AND(D488=1,H488="Pagas prorrateadas"),2705.41*(F488*G488),AND(D488=1,H488="Pagas no prorrateadas"),2318.93*(F488*G488),AND(D488=2,H488="Pagas prorrateadas"),2246.07*(F488*G488),AND(D488=2,H488="Pagas no prorrateadas"),1925.21*(F488*G488),AND(D488=3,H488="Pagas prorrateadas"),1775.44*(F488*G488),AND(D488=3,H488="Pagas no prorrateadas"),1521.81*(F488*G488),AND(D488=5,H488="Pagas prorrateadas"),1535.9*(F488*G488),AND(D488=5,H488="Pagas no prorrateadas"),1316.49*(F488*G488),AND(D488=7,H488="Pagas prorrateadas"),1493.61*(F488*G488),AND(D488=7,H488="Pagas no prorrateadas"),1280.24*(F488*G488)))</f>
        <v/>
      </c>
      <c r="K488" s="106" t="str">
        <f aca="false">IF(A488="","",IF(J488-I488&gt;=0,"OK",J488-I488))</f>
        <v/>
      </c>
    </row>
    <row r="489" customFormat="false" ht="14.25" hidden="false" customHeight="true" outlineLevel="0" collapsed="false">
      <c r="A489" s="106"/>
      <c r="B489" s="106"/>
      <c r="C489" s="107"/>
      <c r="D489" s="106"/>
      <c r="E489" s="106"/>
      <c r="F489" s="130" t="str">
        <f aca="false">IF(A489="","",MIN(E489/(37.5),1))</f>
        <v/>
      </c>
      <c r="G489" s="108"/>
      <c r="H489" s="106"/>
      <c r="I489" s="107"/>
      <c r="J489" s="131" t="str">
        <f aca="false" t="array" ref="J489:J489">IF(A489="","",ifs(AND(D489=1,H489="Pagas prorrateadas"),2705.41*(F489*G489),AND(D489=1,H489="Pagas no prorrateadas"),2318.93*(F489*G489),AND(D489=2,H489="Pagas prorrateadas"),2246.07*(F489*G489),AND(D489=2,H489="Pagas no prorrateadas"),1925.21*(F489*G489),AND(D489=3,H489="Pagas prorrateadas"),1775.44*(F489*G489),AND(D489=3,H489="Pagas no prorrateadas"),1521.81*(F489*G489),AND(D489=5,H489="Pagas prorrateadas"),1535.9*(F489*G489),AND(D489=5,H489="Pagas no prorrateadas"),1316.49*(F489*G489),AND(D489=7,H489="Pagas prorrateadas"),1493.61*(F489*G489),AND(D489=7,H489="Pagas no prorrateadas"),1280.24*(F489*G489)))</f>
        <v/>
      </c>
      <c r="K489" s="106" t="str">
        <f aca="false">IF(A489="","",IF(J489-I489&gt;=0,"OK",J489-I489))</f>
        <v/>
      </c>
    </row>
    <row r="490" customFormat="false" ht="14.25" hidden="false" customHeight="true" outlineLevel="0" collapsed="false">
      <c r="A490" s="106"/>
      <c r="B490" s="106"/>
      <c r="C490" s="107"/>
      <c r="D490" s="106"/>
      <c r="E490" s="106"/>
      <c r="F490" s="130" t="str">
        <f aca="false">IF(A490="","",MIN(E490/(37.5),1))</f>
        <v/>
      </c>
      <c r="G490" s="108"/>
      <c r="H490" s="106"/>
      <c r="I490" s="107"/>
      <c r="J490" s="131" t="str">
        <f aca="false" t="array" ref="J490:J490">IF(A490="","",ifs(AND(D490=1,H490="Pagas prorrateadas"),2705.41*(F490*G490),AND(D490=1,H490="Pagas no prorrateadas"),2318.93*(F490*G490),AND(D490=2,H490="Pagas prorrateadas"),2246.07*(F490*G490),AND(D490=2,H490="Pagas no prorrateadas"),1925.21*(F490*G490),AND(D490=3,H490="Pagas prorrateadas"),1775.44*(F490*G490),AND(D490=3,H490="Pagas no prorrateadas"),1521.81*(F490*G490),AND(D490=5,H490="Pagas prorrateadas"),1535.9*(F490*G490),AND(D490=5,H490="Pagas no prorrateadas"),1316.49*(F490*G490),AND(D490=7,H490="Pagas prorrateadas"),1493.61*(F490*G490),AND(D490=7,H490="Pagas no prorrateadas"),1280.24*(F490*G490)))</f>
        <v/>
      </c>
      <c r="K490" s="106" t="str">
        <f aca="false">IF(A490="","",IF(J490-I490&gt;=0,"OK",J490-I490))</f>
        <v/>
      </c>
    </row>
    <row r="491" customFormat="false" ht="14.25" hidden="false" customHeight="true" outlineLevel="0" collapsed="false">
      <c r="A491" s="106"/>
      <c r="B491" s="106"/>
      <c r="C491" s="107"/>
      <c r="D491" s="106"/>
      <c r="E491" s="106"/>
      <c r="F491" s="130" t="str">
        <f aca="false">IF(A491="","",MIN(E491/(37.5),1))</f>
        <v/>
      </c>
      <c r="G491" s="108"/>
      <c r="H491" s="106"/>
      <c r="I491" s="107"/>
      <c r="J491" s="131" t="str">
        <f aca="false" t="array" ref="J491:J491">IF(A491="","",ifs(AND(D491=1,H491="Pagas prorrateadas"),2705.41*(F491*G491),AND(D491=1,H491="Pagas no prorrateadas"),2318.93*(F491*G491),AND(D491=2,H491="Pagas prorrateadas"),2246.07*(F491*G491),AND(D491=2,H491="Pagas no prorrateadas"),1925.21*(F491*G491),AND(D491=3,H491="Pagas prorrateadas"),1775.44*(F491*G491),AND(D491=3,H491="Pagas no prorrateadas"),1521.81*(F491*G491),AND(D491=5,H491="Pagas prorrateadas"),1535.9*(F491*G491),AND(D491=5,H491="Pagas no prorrateadas"),1316.49*(F491*G491),AND(D491=7,H491="Pagas prorrateadas"),1493.61*(F491*G491),AND(D491=7,H491="Pagas no prorrateadas"),1280.24*(F491*G491)))</f>
        <v/>
      </c>
      <c r="K491" s="106" t="str">
        <f aca="false">IF(A491="","",IF(J491-I491&gt;=0,"OK",J491-I491))</f>
        <v/>
      </c>
    </row>
    <row r="492" customFormat="false" ht="14.25" hidden="false" customHeight="true" outlineLevel="0" collapsed="false">
      <c r="A492" s="106"/>
      <c r="B492" s="106"/>
      <c r="C492" s="107"/>
      <c r="D492" s="106"/>
      <c r="E492" s="106"/>
      <c r="F492" s="130" t="str">
        <f aca="false">IF(A492="","",MIN(E492/(37.5),1))</f>
        <v/>
      </c>
      <c r="G492" s="108"/>
      <c r="H492" s="106"/>
      <c r="I492" s="107"/>
      <c r="J492" s="131" t="str">
        <f aca="false" t="array" ref="J492:J492">IF(A492="","",ifs(AND(D492=1,H492="Pagas prorrateadas"),2705.41*(F492*G492),AND(D492=1,H492="Pagas no prorrateadas"),2318.93*(F492*G492),AND(D492=2,H492="Pagas prorrateadas"),2246.07*(F492*G492),AND(D492=2,H492="Pagas no prorrateadas"),1925.21*(F492*G492),AND(D492=3,H492="Pagas prorrateadas"),1775.44*(F492*G492),AND(D492=3,H492="Pagas no prorrateadas"),1521.81*(F492*G492),AND(D492=5,H492="Pagas prorrateadas"),1535.9*(F492*G492),AND(D492=5,H492="Pagas no prorrateadas"),1316.49*(F492*G492),AND(D492=7,H492="Pagas prorrateadas"),1493.61*(F492*G492),AND(D492=7,H492="Pagas no prorrateadas"),1280.24*(F492*G492)))</f>
        <v/>
      </c>
      <c r="K492" s="106" t="str">
        <f aca="false">IF(A492="","",IF(J492-I492&gt;=0,"OK",J492-I492))</f>
        <v/>
      </c>
    </row>
    <row r="493" customFormat="false" ht="14.25" hidden="false" customHeight="true" outlineLevel="0" collapsed="false">
      <c r="A493" s="106"/>
      <c r="B493" s="106"/>
      <c r="C493" s="107"/>
      <c r="D493" s="106"/>
      <c r="E493" s="106"/>
      <c r="F493" s="130" t="str">
        <f aca="false">IF(A493="","",MIN(E493/(37.5),1))</f>
        <v/>
      </c>
      <c r="G493" s="108"/>
      <c r="H493" s="106"/>
      <c r="I493" s="107"/>
      <c r="J493" s="131" t="str">
        <f aca="false" t="array" ref="J493:J493">IF(A493="","",ifs(AND(D493=1,H493="Pagas prorrateadas"),2705.41*(F493*G493),AND(D493=1,H493="Pagas no prorrateadas"),2318.93*(F493*G493),AND(D493=2,H493="Pagas prorrateadas"),2246.07*(F493*G493),AND(D493=2,H493="Pagas no prorrateadas"),1925.21*(F493*G493),AND(D493=3,H493="Pagas prorrateadas"),1775.44*(F493*G493),AND(D493=3,H493="Pagas no prorrateadas"),1521.81*(F493*G493),AND(D493=5,H493="Pagas prorrateadas"),1535.9*(F493*G493),AND(D493=5,H493="Pagas no prorrateadas"),1316.49*(F493*G493),AND(D493=7,H493="Pagas prorrateadas"),1493.61*(F493*G493),AND(D493=7,H493="Pagas no prorrateadas"),1280.24*(F493*G493)))</f>
        <v/>
      </c>
      <c r="K493" s="106" t="str">
        <f aca="false">IF(A493="","",IF(J493-I493&gt;=0,"OK",J493-I493))</f>
        <v/>
      </c>
    </row>
    <row r="494" customFormat="false" ht="14.25" hidden="false" customHeight="true" outlineLevel="0" collapsed="false">
      <c r="A494" s="106"/>
      <c r="B494" s="106"/>
      <c r="C494" s="107"/>
      <c r="D494" s="106"/>
      <c r="E494" s="106"/>
      <c r="F494" s="130" t="str">
        <f aca="false">IF(A494="","",MIN(E494/(37.5),1))</f>
        <v/>
      </c>
      <c r="G494" s="108"/>
      <c r="H494" s="106"/>
      <c r="I494" s="107"/>
      <c r="J494" s="131" t="str">
        <f aca="false" t="array" ref="J494:J494">IF(A494="","",ifs(AND(D494=1,H494="Pagas prorrateadas"),2705.41*(F494*G494),AND(D494=1,H494="Pagas no prorrateadas"),2318.93*(F494*G494),AND(D494=2,H494="Pagas prorrateadas"),2246.07*(F494*G494),AND(D494=2,H494="Pagas no prorrateadas"),1925.21*(F494*G494),AND(D494=3,H494="Pagas prorrateadas"),1775.44*(F494*G494),AND(D494=3,H494="Pagas no prorrateadas"),1521.81*(F494*G494),AND(D494=5,H494="Pagas prorrateadas"),1535.9*(F494*G494),AND(D494=5,H494="Pagas no prorrateadas"),1316.49*(F494*G494),AND(D494=7,H494="Pagas prorrateadas"),1493.61*(F494*G494),AND(D494=7,H494="Pagas no prorrateadas"),1280.24*(F494*G494)))</f>
        <v/>
      </c>
      <c r="K494" s="106" t="str">
        <f aca="false">IF(A494="","",IF(J494-I494&gt;=0,"OK",J494-I494))</f>
        <v/>
      </c>
    </row>
    <row r="495" customFormat="false" ht="14.25" hidden="false" customHeight="true" outlineLevel="0" collapsed="false">
      <c r="A495" s="106"/>
      <c r="B495" s="106"/>
      <c r="C495" s="107"/>
      <c r="D495" s="106"/>
      <c r="E495" s="106"/>
      <c r="F495" s="130" t="str">
        <f aca="false">IF(A495="","",MIN(E495/(37.5),1))</f>
        <v/>
      </c>
      <c r="G495" s="108"/>
      <c r="H495" s="106"/>
      <c r="I495" s="107"/>
      <c r="J495" s="131" t="str">
        <f aca="false" t="array" ref="J495:J495">IF(A495="","",ifs(AND(D495=1,H495="Pagas prorrateadas"),2705.41*(F495*G495),AND(D495=1,H495="Pagas no prorrateadas"),2318.93*(F495*G495),AND(D495=2,H495="Pagas prorrateadas"),2246.07*(F495*G495),AND(D495=2,H495="Pagas no prorrateadas"),1925.21*(F495*G495),AND(D495=3,H495="Pagas prorrateadas"),1775.44*(F495*G495),AND(D495=3,H495="Pagas no prorrateadas"),1521.81*(F495*G495),AND(D495=5,H495="Pagas prorrateadas"),1535.9*(F495*G495),AND(D495=5,H495="Pagas no prorrateadas"),1316.49*(F495*G495),AND(D495=7,H495="Pagas prorrateadas"),1493.61*(F495*G495),AND(D495=7,H495="Pagas no prorrateadas"),1280.24*(F495*G495)))</f>
        <v/>
      </c>
      <c r="K495" s="106" t="str">
        <f aca="false">IF(A495="","",IF(J495-I495&gt;=0,"OK",J495-I495))</f>
        <v/>
      </c>
    </row>
    <row r="496" customFormat="false" ht="14.25" hidden="false" customHeight="true" outlineLevel="0" collapsed="false">
      <c r="A496" s="106"/>
      <c r="B496" s="106"/>
      <c r="C496" s="107"/>
      <c r="D496" s="106"/>
      <c r="E496" s="106"/>
      <c r="F496" s="130" t="str">
        <f aca="false">IF(A496="","",MIN(E496/(37.5),1))</f>
        <v/>
      </c>
      <c r="G496" s="108"/>
      <c r="H496" s="106"/>
      <c r="I496" s="107"/>
      <c r="J496" s="131" t="str">
        <f aca="false" t="array" ref="J496:J496">IF(A496="","",ifs(AND(D496=1,H496="Pagas prorrateadas"),2705.41*(F496*G496),AND(D496=1,H496="Pagas no prorrateadas"),2318.93*(F496*G496),AND(D496=2,H496="Pagas prorrateadas"),2246.07*(F496*G496),AND(D496=2,H496="Pagas no prorrateadas"),1925.21*(F496*G496),AND(D496=3,H496="Pagas prorrateadas"),1775.44*(F496*G496),AND(D496=3,H496="Pagas no prorrateadas"),1521.81*(F496*G496),AND(D496=5,H496="Pagas prorrateadas"),1535.9*(F496*G496),AND(D496=5,H496="Pagas no prorrateadas"),1316.49*(F496*G496),AND(D496=7,H496="Pagas prorrateadas"),1493.61*(F496*G496),AND(D496=7,H496="Pagas no prorrateadas"),1280.24*(F496*G496)))</f>
        <v/>
      </c>
      <c r="K496" s="106" t="str">
        <f aca="false">IF(A496="","",IF(J496-I496&gt;=0,"OK",J496-I496))</f>
        <v/>
      </c>
    </row>
    <row r="497" customFormat="false" ht="14.25" hidden="false" customHeight="true" outlineLevel="0" collapsed="false">
      <c r="A497" s="106"/>
      <c r="B497" s="106"/>
      <c r="C497" s="107"/>
      <c r="D497" s="106"/>
      <c r="E497" s="106"/>
      <c r="F497" s="130" t="str">
        <f aca="false">IF(A497="","",MIN(E497/(37.5),1))</f>
        <v/>
      </c>
      <c r="G497" s="108"/>
      <c r="H497" s="106"/>
      <c r="I497" s="107"/>
      <c r="J497" s="131" t="str">
        <f aca="false" t="array" ref="J497:J497">IF(A497="","",ifs(AND(D497=1,H497="Pagas prorrateadas"),2705.41*(F497*G497),AND(D497=1,H497="Pagas no prorrateadas"),2318.93*(F497*G497),AND(D497=2,H497="Pagas prorrateadas"),2246.07*(F497*G497),AND(D497=2,H497="Pagas no prorrateadas"),1925.21*(F497*G497),AND(D497=3,H497="Pagas prorrateadas"),1775.44*(F497*G497),AND(D497=3,H497="Pagas no prorrateadas"),1521.81*(F497*G497),AND(D497=5,H497="Pagas prorrateadas"),1535.9*(F497*G497),AND(D497=5,H497="Pagas no prorrateadas"),1316.49*(F497*G497),AND(D497=7,H497="Pagas prorrateadas"),1493.61*(F497*G497),AND(D497=7,H497="Pagas no prorrateadas"),1280.24*(F497*G497)))</f>
        <v/>
      </c>
      <c r="K497" s="106" t="str">
        <f aca="false">IF(A497="","",IF(J497-I497&gt;=0,"OK",J497-I497))</f>
        <v/>
      </c>
    </row>
    <row r="498" customFormat="false" ht="14.25" hidden="false" customHeight="true" outlineLevel="0" collapsed="false">
      <c r="A498" s="106"/>
      <c r="B498" s="106"/>
      <c r="C498" s="107"/>
      <c r="D498" s="106"/>
      <c r="E498" s="106"/>
      <c r="F498" s="130" t="str">
        <f aca="false">IF(A498="","",MIN(E498/(37.5),1))</f>
        <v/>
      </c>
      <c r="G498" s="108"/>
      <c r="H498" s="106"/>
      <c r="I498" s="107"/>
      <c r="J498" s="131" t="str">
        <f aca="false" t="array" ref="J498:J498">IF(A498="","",ifs(AND(D498=1,H498="Pagas prorrateadas"),2705.41*(F498*G498),AND(D498=1,H498="Pagas no prorrateadas"),2318.93*(F498*G498),AND(D498=2,H498="Pagas prorrateadas"),2246.07*(F498*G498),AND(D498=2,H498="Pagas no prorrateadas"),1925.21*(F498*G498),AND(D498=3,H498="Pagas prorrateadas"),1775.44*(F498*G498),AND(D498=3,H498="Pagas no prorrateadas"),1521.81*(F498*G498),AND(D498=5,H498="Pagas prorrateadas"),1535.9*(F498*G498),AND(D498=5,H498="Pagas no prorrateadas"),1316.49*(F498*G498),AND(D498=7,H498="Pagas prorrateadas"),1493.61*(F498*G498),AND(D498=7,H498="Pagas no prorrateadas"),1280.24*(F498*G498)))</f>
        <v/>
      </c>
      <c r="K498" s="106" t="str">
        <f aca="false">IF(A498="","",IF(J498-I498&gt;=0,"OK",J498-I498))</f>
        <v/>
      </c>
    </row>
    <row r="499" customFormat="false" ht="14.25" hidden="false" customHeight="true" outlineLevel="0" collapsed="false">
      <c r="A499" s="106"/>
      <c r="B499" s="106"/>
      <c r="C499" s="107"/>
      <c r="D499" s="106"/>
      <c r="E499" s="106"/>
      <c r="F499" s="130" t="str">
        <f aca="false">IF(A499="","",MIN(E499/(37.5),1))</f>
        <v/>
      </c>
      <c r="G499" s="108"/>
      <c r="H499" s="106"/>
      <c r="I499" s="107"/>
      <c r="J499" s="131" t="str">
        <f aca="false" t="array" ref="J499:J499">IF(A499="","",ifs(AND(D499=1,H499="Pagas prorrateadas"),2705.41*(F499*G499),AND(D499=1,H499="Pagas no prorrateadas"),2318.93*(F499*G499),AND(D499=2,H499="Pagas prorrateadas"),2246.07*(F499*G499),AND(D499=2,H499="Pagas no prorrateadas"),1925.21*(F499*G499),AND(D499=3,H499="Pagas prorrateadas"),1775.44*(F499*G499),AND(D499=3,H499="Pagas no prorrateadas"),1521.81*(F499*G499),AND(D499=5,H499="Pagas prorrateadas"),1535.9*(F499*G499),AND(D499=5,H499="Pagas no prorrateadas"),1316.49*(F499*G499),AND(D499=7,H499="Pagas prorrateadas"),1493.61*(F499*G499),AND(D499=7,H499="Pagas no prorrateadas"),1280.24*(F499*G499)))</f>
        <v/>
      </c>
      <c r="K499" s="106" t="str">
        <f aca="false">IF(A499="","",IF(J499-I499&gt;=0,"OK",J499-I499))</f>
        <v/>
      </c>
    </row>
    <row r="500" customFormat="false" ht="14.25" hidden="false" customHeight="true" outlineLevel="0" collapsed="false">
      <c r="A500" s="106"/>
      <c r="B500" s="106"/>
      <c r="C500" s="107"/>
      <c r="D500" s="106"/>
      <c r="E500" s="106"/>
      <c r="F500" s="130" t="str">
        <f aca="false">IF(A500="","",MIN(E500/(37.5),1))</f>
        <v/>
      </c>
      <c r="G500" s="108"/>
      <c r="H500" s="106"/>
      <c r="I500" s="107"/>
      <c r="J500" s="131" t="str">
        <f aca="false" t="array" ref="J500:J500">IF(A500="","",ifs(AND(D500=1,H500="Pagas prorrateadas"),2705.41*(F500*G500),AND(D500=1,H500="Pagas no prorrateadas"),2318.93*(F500*G500),AND(D500=2,H500="Pagas prorrateadas"),2246.07*(F500*G500),AND(D500=2,H500="Pagas no prorrateadas"),1925.21*(F500*G500),AND(D500=3,H500="Pagas prorrateadas"),1775.44*(F500*G500),AND(D500=3,H500="Pagas no prorrateadas"),1521.81*(F500*G500),AND(D500=5,H500="Pagas prorrateadas"),1535.9*(F500*G500),AND(D500=5,H500="Pagas no prorrateadas"),1316.49*(F500*G500),AND(D500=7,H500="Pagas prorrateadas"),1493.61*(F500*G500),AND(D500=7,H500="Pagas no prorrateadas"),1280.24*(F500*G500)))</f>
        <v/>
      </c>
      <c r="K500" s="106" t="str">
        <f aca="false">IF(A500="","",IF(J500-I500&gt;=0,"OK",J500-I500))</f>
        <v/>
      </c>
    </row>
    <row r="501" customFormat="false" ht="14.25" hidden="false" customHeight="true" outlineLevel="0" collapsed="false">
      <c r="A501" s="106"/>
      <c r="B501" s="106"/>
      <c r="C501" s="107"/>
      <c r="D501" s="106"/>
      <c r="E501" s="106"/>
      <c r="F501" s="130" t="str">
        <f aca="false">IF(A501="","",MIN(E501/(37.5),1))</f>
        <v/>
      </c>
      <c r="G501" s="108"/>
      <c r="H501" s="106"/>
      <c r="I501" s="107"/>
      <c r="J501" s="131" t="str">
        <f aca="false" t="array" ref="J501:J501">IF(A501="","",ifs(AND(D501=1,H501="Pagas prorrateadas"),2705.41*(F501*G501),AND(D501=1,H501="Pagas no prorrateadas"),2318.93*(F501*G501),AND(D501=2,H501="Pagas prorrateadas"),2246.07*(F501*G501),AND(D501=2,H501="Pagas no prorrateadas"),1925.21*(F501*G501),AND(D501=3,H501="Pagas prorrateadas"),1775.44*(F501*G501),AND(D501=3,H501="Pagas no prorrateadas"),1521.81*(F501*G501),AND(D501=5,H501="Pagas prorrateadas"),1535.9*(F501*G501),AND(D501=5,H501="Pagas no prorrateadas"),1316.49*(F501*G501),AND(D501=7,H501="Pagas prorrateadas"),1493.61*(F501*G501),AND(D501=7,H501="Pagas no prorrateadas"),1280.24*(F501*G501)))</f>
        <v/>
      </c>
      <c r="K501" s="106" t="str">
        <f aca="false">IF(A501="","",IF(J501-I501&gt;=0,"OK",J501-I501))</f>
        <v/>
      </c>
    </row>
    <row r="502" customFormat="false" ht="14.25" hidden="false" customHeight="true" outlineLevel="0" collapsed="false">
      <c r="A502" s="106"/>
      <c r="B502" s="106"/>
      <c r="C502" s="107"/>
      <c r="D502" s="106"/>
      <c r="E502" s="106"/>
      <c r="F502" s="130" t="str">
        <f aca="false">IF(A502="","",MIN(E502/(37.5),1))</f>
        <v/>
      </c>
      <c r="G502" s="108"/>
      <c r="H502" s="106"/>
      <c r="I502" s="107"/>
      <c r="J502" s="131" t="str">
        <f aca="false" t="array" ref="J502:J502">IF(A502="","",ifs(AND(D502=1,H502="Pagas prorrateadas"),2705.41*(F502*G502),AND(D502=1,H502="Pagas no prorrateadas"),2318.93*(F502*G502),AND(D502=2,H502="Pagas prorrateadas"),2246.07*(F502*G502),AND(D502=2,H502="Pagas no prorrateadas"),1925.21*(F502*G502),AND(D502=3,H502="Pagas prorrateadas"),1775.44*(F502*G502),AND(D502=3,H502="Pagas no prorrateadas"),1521.81*(F502*G502),AND(D502=5,H502="Pagas prorrateadas"),1535.9*(F502*G502),AND(D502=5,H502="Pagas no prorrateadas"),1316.49*(F502*G502),AND(D502=7,H502="Pagas prorrateadas"),1493.61*(F502*G502),AND(D502=7,H502="Pagas no prorrateadas"),1280.24*(F502*G502)))</f>
        <v/>
      </c>
      <c r="K502" s="106" t="str">
        <f aca="false">IF(A502="","",IF(J502-I502&gt;=0,"OK",J502-I502))</f>
        <v/>
      </c>
    </row>
    <row r="503" customFormat="false" ht="14.25" hidden="false" customHeight="true" outlineLevel="0" collapsed="false">
      <c r="A503" s="106"/>
      <c r="B503" s="106"/>
      <c r="C503" s="107"/>
      <c r="D503" s="106"/>
      <c r="E503" s="106"/>
      <c r="F503" s="130" t="str">
        <f aca="false">IF(A503="","",MIN(E503/(37.5),1))</f>
        <v/>
      </c>
      <c r="G503" s="108"/>
      <c r="H503" s="106"/>
      <c r="I503" s="107"/>
      <c r="J503" s="131" t="str">
        <f aca="false" t="array" ref="J503:J503">IF(A503="","",ifs(AND(D503=1,H503="Pagas prorrateadas"),2705.41*(F503*G503),AND(D503=1,H503="Pagas no prorrateadas"),2318.93*(F503*G503),AND(D503=2,H503="Pagas prorrateadas"),2246.07*(F503*G503),AND(D503=2,H503="Pagas no prorrateadas"),1925.21*(F503*G503),AND(D503=3,H503="Pagas prorrateadas"),1775.44*(F503*G503),AND(D503=3,H503="Pagas no prorrateadas"),1521.81*(F503*G503),AND(D503=5,H503="Pagas prorrateadas"),1535.9*(F503*G503),AND(D503=5,H503="Pagas no prorrateadas"),1316.49*(F503*G503),AND(D503=7,H503="Pagas prorrateadas"),1493.61*(F503*G503),AND(D503=7,H503="Pagas no prorrateadas"),1280.24*(F503*G503)))</f>
        <v/>
      </c>
      <c r="K503" s="106" t="str">
        <f aca="false">IF(A503="","",IF(J503-I503&gt;=0,"OK",J503-I503))</f>
        <v/>
      </c>
    </row>
    <row r="504" customFormat="false" ht="14.25" hidden="false" customHeight="true" outlineLevel="0" collapsed="false">
      <c r="A504" s="106"/>
      <c r="B504" s="106"/>
      <c r="C504" s="107"/>
      <c r="D504" s="106"/>
      <c r="E504" s="106"/>
      <c r="F504" s="130" t="str">
        <f aca="false">IF(A504="","",MIN(E504/(37.5),1))</f>
        <v/>
      </c>
      <c r="G504" s="108"/>
      <c r="H504" s="106"/>
      <c r="I504" s="107"/>
      <c r="J504" s="131" t="str">
        <f aca="false" t="array" ref="J504:J504">IF(A504="","",ifs(AND(D504=1,H504="Pagas prorrateadas"),2705.41*(F504*G504),AND(D504=1,H504="Pagas no prorrateadas"),2318.93*(F504*G504),AND(D504=2,H504="Pagas prorrateadas"),2246.07*(F504*G504),AND(D504=2,H504="Pagas no prorrateadas"),1925.21*(F504*G504),AND(D504=3,H504="Pagas prorrateadas"),1775.44*(F504*G504),AND(D504=3,H504="Pagas no prorrateadas"),1521.81*(F504*G504),AND(D504=5,H504="Pagas prorrateadas"),1535.9*(F504*G504),AND(D504=5,H504="Pagas no prorrateadas"),1316.49*(F504*G504),AND(D504=7,H504="Pagas prorrateadas"),1493.61*(F504*G504),AND(D504=7,H504="Pagas no prorrateadas"),1280.24*(F504*G504)))</f>
        <v/>
      </c>
      <c r="K504" s="106" t="str">
        <f aca="false">IF(A504="","",IF(J504-I504&gt;=0,"OK",J504-I504))</f>
        <v/>
      </c>
    </row>
    <row r="505" customFormat="false" ht="14.25" hidden="false" customHeight="true" outlineLevel="0" collapsed="false">
      <c r="A505" s="106"/>
      <c r="B505" s="106"/>
      <c r="C505" s="107"/>
      <c r="D505" s="106"/>
      <c r="E505" s="106"/>
      <c r="F505" s="130" t="str">
        <f aca="false">IF(A505="","",MIN(E505/(37.5),1))</f>
        <v/>
      </c>
      <c r="G505" s="108"/>
      <c r="H505" s="106"/>
      <c r="I505" s="107"/>
      <c r="J505" s="131" t="str">
        <f aca="false" t="array" ref="J505:J505">IF(A505="","",ifs(AND(D505=1,H505="Pagas prorrateadas"),2705.41*(F505*G505),AND(D505=1,H505="Pagas no prorrateadas"),2318.93*(F505*G505),AND(D505=2,H505="Pagas prorrateadas"),2246.07*(F505*G505),AND(D505=2,H505="Pagas no prorrateadas"),1925.21*(F505*G505),AND(D505=3,H505="Pagas prorrateadas"),1775.44*(F505*G505),AND(D505=3,H505="Pagas no prorrateadas"),1521.81*(F505*G505),AND(D505=5,H505="Pagas prorrateadas"),1535.9*(F505*G505),AND(D505=5,H505="Pagas no prorrateadas"),1316.49*(F505*G505),AND(D505=7,H505="Pagas prorrateadas"),1493.61*(F505*G505),AND(D505=7,H505="Pagas no prorrateadas"),1280.24*(F505*G505)))</f>
        <v/>
      </c>
      <c r="K505" s="106" t="str">
        <f aca="false">IF(A505="","",IF(J505-I505&gt;=0,"OK",J505-I505))</f>
        <v/>
      </c>
    </row>
    <row r="506" customFormat="false" ht="14.25" hidden="false" customHeight="true" outlineLevel="0" collapsed="false">
      <c r="A506" s="106"/>
      <c r="B506" s="106"/>
      <c r="C506" s="107"/>
      <c r="D506" s="106"/>
      <c r="E506" s="106"/>
      <c r="F506" s="130" t="str">
        <f aca="false">IF(A506="","",MIN(E506/(37.5),1))</f>
        <v/>
      </c>
      <c r="G506" s="108"/>
      <c r="H506" s="106"/>
      <c r="I506" s="107"/>
      <c r="J506" s="131" t="str">
        <f aca="false" t="array" ref="J506:J506">IF(A506="","",ifs(AND(D506=1,H506="Pagas prorrateadas"),2705.41*(F506*G506),AND(D506=1,H506="Pagas no prorrateadas"),2318.93*(F506*G506),AND(D506=2,H506="Pagas prorrateadas"),2246.07*(F506*G506),AND(D506=2,H506="Pagas no prorrateadas"),1925.21*(F506*G506),AND(D506=3,H506="Pagas prorrateadas"),1775.44*(F506*G506),AND(D506=3,H506="Pagas no prorrateadas"),1521.81*(F506*G506),AND(D506=5,H506="Pagas prorrateadas"),1535.9*(F506*G506),AND(D506=5,H506="Pagas no prorrateadas"),1316.49*(F506*G506),AND(D506=7,H506="Pagas prorrateadas"),1493.61*(F506*G506),AND(D506=7,H506="Pagas no prorrateadas"),1280.24*(F506*G506)))</f>
        <v/>
      </c>
      <c r="K506" s="106" t="str">
        <f aca="false">IF(A506="","",IF(J506-I506&gt;=0,"OK",J506-I506))</f>
        <v/>
      </c>
    </row>
    <row r="507" customFormat="false" ht="14.25" hidden="false" customHeight="true" outlineLevel="0" collapsed="false">
      <c r="A507" s="106"/>
      <c r="B507" s="106"/>
      <c r="C507" s="107"/>
      <c r="D507" s="106"/>
      <c r="E507" s="106"/>
      <c r="F507" s="130" t="str">
        <f aca="false">IF(A507="","",MIN(E507/(37.5),1))</f>
        <v/>
      </c>
      <c r="G507" s="108"/>
      <c r="H507" s="106"/>
      <c r="I507" s="107"/>
      <c r="J507" s="131" t="str">
        <f aca="false" t="array" ref="J507:J507">IF(A507="","",ifs(AND(D507=1,H507="Pagas prorrateadas"),2705.41*(F507*G507),AND(D507=1,H507="Pagas no prorrateadas"),2318.93*(F507*G507),AND(D507=2,H507="Pagas prorrateadas"),2246.07*(F507*G507),AND(D507=2,H507="Pagas no prorrateadas"),1925.21*(F507*G507),AND(D507=3,H507="Pagas prorrateadas"),1775.44*(F507*G507),AND(D507=3,H507="Pagas no prorrateadas"),1521.81*(F507*G507),AND(D507=5,H507="Pagas prorrateadas"),1535.9*(F507*G507),AND(D507=5,H507="Pagas no prorrateadas"),1316.49*(F507*G507),AND(D507=7,H507="Pagas prorrateadas"),1493.61*(F507*G507),AND(D507=7,H507="Pagas no prorrateadas"),1280.24*(F507*G507)))</f>
        <v/>
      </c>
      <c r="K507" s="106" t="str">
        <f aca="false">IF(A507="","",IF(J507-I507&gt;=0,"OK",J507-I507))</f>
        <v/>
      </c>
    </row>
    <row r="508" customFormat="false" ht="14.25" hidden="false" customHeight="true" outlineLevel="0" collapsed="false">
      <c r="A508" s="106"/>
      <c r="B508" s="106"/>
      <c r="C508" s="107"/>
      <c r="D508" s="106"/>
      <c r="E508" s="106"/>
      <c r="F508" s="130" t="str">
        <f aca="false">IF(A508="","",MIN(E508/(37.5),1))</f>
        <v/>
      </c>
      <c r="G508" s="108"/>
      <c r="H508" s="106"/>
      <c r="I508" s="107"/>
      <c r="J508" s="131" t="str">
        <f aca="false" t="array" ref="J508:J508">IF(A508="","",ifs(AND(D508=1,H508="Pagas prorrateadas"),2705.41*(F508*G508),AND(D508=1,H508="Pagas no prorrateadas"),2318.93*(F508*G508),AND(D508=2,H508="Pagas prorrateadas"),2246.07*(F508*G508),AND(D508=2,H508="Pagas no prorrateadas"),1925.21*(F508*G508),AND(D508=3,H508="Pagas prorrateadas"),1775.44*(F508*G508),AND(D508=3,H508="Pagas no prorrateadas"),1521.81*(F508*G508),AND(D508=5,H508="Pagas prorrateadas"),1535.9*(F508*G508),AND(D508=5,H508="Pagas no prorrateadas"),1316.49*(F508*G508),AND(D508=7,H508="Pagas prorrateadas"),1493.61*(F508*G508),AND(D508=7,H508="Pagas no prorrateadas"),1280.24*(F508*G508)))</f>
        <v/>
      </c>
      <c r="K508" s="106" t="str">
        <f aca="false">IF(A508="","",IF(J508-I508&gt;=0,"OK",J508-I508))</f>
        <v/>
      </c>
    </row>
    <row r="509" customFormat="false" ht="14.25" hidden="false" customHeight="true" outlineLevel="0" collapsed="false">
      <c r="A509" s="106"/>
      <c r="B509" s="106"/>
      <c r="C509" s="107"/>
      <c r="D509" s="106"/>
      <c r="E509" s="106"/>
      <c r="F509" s="130" t="str">
        <f aca="false">IF(A509="","",MIN(E509/(37.5),1))</f>
        <v/>
      </c>
      <c r="G509" s="108"/>
      <c r="H509" s="106"/>
      <c r="I509" s="107"/>
      <c r="J509" s="131" t="str">
        <f aca="false" t="array" ref="J509:J509">IF(A509="","",ifs(AND(D509=1,H509="Pagas prorrateadas"),2705.41*(F509*G509),AND(D509=1,H509="Pagas no prorrateadas"),2318.93*(F509*G509),AND(D509=2,H509="Pagas prorrateadas"),2246.07*(F509*G509),AND(D509=2,H509="Pagas no prorrateadas"),1925.21*(F509*G509),AND(D509=3,H509="Pagas prorrateadas"),1775.44*(F509*G509),AND(D509=3,H509="Pagas no prorrateadas"),1521.81*(F509*G509),AND(D509=5,H509="Pagas prorrateadas"),1535.9*(F509*G509),AND(D509=5,H509="Pagas no prorrateadas"),1316.49*(F509*G509),AND(D509=7,H509="Pagas prorrateadas"),1493.61*(F509*G509),AND(D509=7,H509="Pagas no prorrateadas"),1280.24*(F509*G509)))</f>
        <v/>
      </c>
      <c r="K509" s="106" t="str">
        <f aca="false">IF(A509="","",IF(J509-I509&gt;=0,"OK",J509-I509))</f>
        <v/>
      </c>
    </row>
    <row r="510" customFormat="false" ht="14.25" hidden="false" customHeight="true" outlineLevel="0" collapsed="false">
      <c r="A510" s="106"/>
      <c r="B510" s="106"/>
      <c r="C510" s="107"/>
      <c r="D510" s="106"/>
      <c r="E510" s="106"/>
      <c r="F510" s="130" t="str">
        <f aca="false">IF(A510="","",MIN(E510/(37.5),1))</f>
        <v/>
      </c>
      <c r="G510" s="108"/>
      <c r="H510" s="106"/>
      <c r="I510" s="107"/>
      <c r="J510" s="131" t="str">
        <f aca="false" t="array" ref="J510:J510">IF(A510="","",ifs(AND(D510=1,H510="Pagas prorrateadas"),2705.41*(F510*G510),AND(D510=1,H510="Pagas no prorrateadas"),2318.93*(F510*G510),AND(D510=2,H510="Pagas prorrateadas"),2246.07*(F510*G510),AND(D510=2,H510="Pagas no prorrateadas"),1925.21*(F510*G510),AND(D510=3,H510="Pagas prorrateadas"),1775.44*(F510*G510),AND(D510=3,H510="Pagas no prorrateadas"),1521.81*(F510*G510),AND(D510=5,H510="Pagas prorrateadas"),1535.9*(F510*G510),AND(D510=5,H510="Pagas no prorrateadas"),1316.49*(F510*G510),AND(D510=7,H510="Pagas prorrateadas"),1493.61*(F510*G510),AND(D510=7,H510="Pagas no prorrateadas"),1280.24*(F510*G510)))</f>
        <v/>
      </c>
      <c r="K510" s="106" t="str">
        <f aca="false">IF(A510="","",IF(J510-I510&gt;=0,"OK",J510-I510))</f>
        <v/>
      </c>
    </row>
    <row r="511" customFormat="false" ht="14.25" hidden="false" customHeight="true" outlineLevel="0" collapsed="false">
      <c r="A511" s="106"/>
      <c r="B511" s="106"/>
      <c r="C511" s="107"/>
      <c r="D511" s="106"/>
      <c r="E511" s="106"/>
      <c r="F511" s="130" t="str">
        <f aca="false">IF(A511="","",MIN(E511/(37.5),1))</f>
        <v/>
      </c>
      <c r="G511" s="108"/>
      <c r="H511" s="106"/>
      <c r="I511" s="107"/>
      <c r="J511" s="131" t="str">
        <f aca="false" t="array" ref="J511:J511">IF(A511="","",ifs(AND(D511=1,H511="Pagas prorrateadas"),2705.41*(F511*G511),AND(D511=1,H511="Pagas no prorrateadas"),2318.93*(F511*G511),AND(D511=2,H511="Pagas prorrateadas"),2246.07*(F511*G511),AND(D511=2,H511="Pagas no prorrateadas"),1925.21*(F511*G511),AND(D511=3,H511="Pagas prorrateadas"),1775.44*(F511*G511),AND(D511=3,H511="Pagas no prorrateadas"),1521.81*(F511*G511),AND(D511=5,H511="Pagas prorrateadas"),1535.9*(F511*G511),AND(D511=5,H511="Pagas no prorrateadas"),1316.49*(F511*G511),AND(D511=7,H511="Pagas prorrateadas"),1493.61*(F511*G511),AND(D511=7,H511="Pagas no prorrateadas"),1280.24*(F511*G511)))</f>
        <v/>
      </c>
      <c r="K511" s="106" t="str">
        <f aca="false">IF(A511="","",IF(J511-I511&gt;=0,"OK",J511-I511))</f>
        <v/>
      </c>
    </row>
    <row r="512" customFormat="false" ht="14.25" hidden="false" customHeight="true" outlineLevel="0" collapsed="false">
      <c r="A512" s="106"/>
      <c r="B512" s="106"/>
      <c r="C512" s="107"/>
      <c r="D512" s="106"/>
      <c r="E512" s="106"/>
      <c r="F512" s="130" t="str">
        <f aca="false">IF(A512="","",MIN(E512/(37.5),1))</f>
        <v/>
      </c>
      <c r="G512" s="108"/>
      <c r="H512" s="106"/>
      <c r="I512" s="107"/>
      <c r="J512" s="131" t="str">
        <f aca="false" t="array" ref="J512:J512">IF(A512="","",ifs(AND(D512=1,H512="Pagas prorrateadas"),2705.41*(F512*G512),AND(D512=1,H512="Pagas no prorrateadas"),2318.93*(F512*G512),AND(D512=2,H512="Pagas prorrateadas"),2246.07*(F512*G512),AND(D512=2,H512="Pagas no prorrateadas"),1925.21*(F512*G512),AND(D512=3,H512="Pagas prorrateadas"),1775.44*(F512*G512),AND(D512=3,H512="Pagas no prorrateadas"),1521.81*(F512*G512),AND(D512=5,H512="Pagas prorrateadas"),1535.9*(F512*G512),AND(D512=5,H512="Pagas no prorrateadas"),1316.49*(F512*G512),AND(D512=7,H512="Pagas prorrateadas"),1493.61*(F512*G512),AND(D512=7,H512="Pagas no prorrateadas"),1280.24*(F512*G512)))</f>
        <v/>
      </c>
      <c r="K512" s="106" t="str">
        <f aca="false">IF(A512="","",IF(J512-I512&gt;=0,"OK",J512-I512))</f>
        <v/>
      </c>
    </row>
    <row r="513" customFormat="false" ht="14.25" hidden="false" customHeight="true" outlineLevel="0" collapsed="false">
      <c r="A513" s="106"/>
      <c r="B513" s="106"/>
      <c r="C513" s="107"/>
      <c r="D513" s="106"/>
      <c r="E513" s="106"/>
      <c r="F513" s="130" t="str">
        <f aca="false">IF(A513="","",MIN(E513/(37.5),1))</f>
        <v/>
      </c>
      <c r="G513" s="108"/>
      <c r="H513" s="106"/>
      <c r="I513" s="107"/>
      <c r="J513" s="131" t="str">
        <f aca="false" t="array" ref="J513:J513">IF(A513="","",ifs(AND(D513=1,H513="Pagas prorrateadas"),2705.41*(F513*G513),AND(D513=1,H513="Pagas no prorrateadas"),2318.93*(F513*G513),AND(D513=2,H513="Pagas prorrateadas"),2246.07*(F513*G513),AND(D513=2,H513="Pagas no prorrateadas"),1925.21*(F513*G513),AND(D513=3,H513="Pagas prorrateadas"),1775.44*(F513*G513),AND(D513=3,H513="Pagas no prorrateadas"),1521.81*(F513*G513),AND(D513=5,H513="Pagas prorrateadas"),1535.9*(F513*G513),AND(D513=5,H513="Pagas no prorrateadas"),1316.49*(F513*G513),AND(D513=7,H513="Pagas prorrateadas"),1493.61*(F513*G513),AND(D513=7,H513="Pagas no prorrateadas"),1280.24*(F513*G513)))</f>
        <v/>
      </c>
      <c r="K513" s="106" t="str">
        <f aca="false">IF(A513="","",IF(J513-I513&gt;=0,"OK",J513-I513))</f>
        <v/>
      </c>
    </row>
    <row r="514" customFormat="false" ht="14.25" hidden="false" customHeight="true" outlineLevel="0" collapsed="false">
      <c r="A514" s="106"/>
      <c r="B514" s="106"/>
      <c r="C514" s="107"/>
      <c r="D514" s="106"/>
      <c r="E514" s="106"/>
      <c r="F514" s="130" t="str">
        <f aca="false">IF(A514="","",MIN(E514/(37.5),1))</f>
        <v/>
      </c>
      <c r="G514" s="108"/>
      <c r="H514" s="106"/>
      <c r="I514" s="107"/>
      <c r="J514" s="131" t="str">
        <f aca="false" t="array" ref="J514:J514">IF(A514="","",ifs(AND(D514=1,H514="Pagas prorrateadas"),2705.41*(F514*G514),AND(D514=1,H514="Pagas no prorrateadas"),2318.93*(F514*G514),AND(D514=2,H514="Pagas prorrateadas"),2246.07*(F514*G514),AND(D514=2,H514="Pagas no prorrateadas"),1925.21*(F514*G514),AND(D514=3,H514="Pagas prorrateadas"),1775.44*(F514*G514),AND(D514=3,H514="Pagas no prorrateadas"),1521.81*(F514*G514),AND(D514=5,H514="Pagas prorrateadas"),1535.9*(F514*G514),AND(D514=5,H514="Pagas no prorrateadas"),1316.49*(F514*G514),AND(D514=7,H514="Pagas prorrateadas"),1493.61*(F514*G514),AND(D514=7,H514="Pagas no prorrateadas"),1280.24*(F514*G514)))</f>
        <v/>
      </c>
      <c r="K514" s="106" t="str">
        <f aca="false">IF(A514="","",IF(J514-I514&gt;=0,"OK",J514-I514))</f>
        <v/>
      </c>
    </row>
    <row r="515" customFormat="false" ht="14.25" hidden="false" customHeight="true" outlineLevel="0" collapsed="false">
      <c r="A515" s="106"/>
      <c r="B515" s="106"/>
      <c r="C515" s="107"/>
      <c r="D515" s="106"/>
      <c r="E515" s="106"/>
      <c r="F515" s="130" t="str">
        <f aca="false">IF(A515="","",MIN(E515/(37.5),1))</f>
        <v/>
      </c>
      <c r="G515" s="108"/>
      <c r="H515" s="106"/>
      <c r="I515" s="107"/>
      <c r="J515" s="131" t="str">
        <f aca="false" t="array" ref="J515:J515">IF(A515="","",ifs(AND(D515=1,H515="Pagas prorrateadas"),2705.41*(F515*G515),AND(D515=1,H515="Pagas no prorrateadas"),2318.93*(F515*G515),AND(D515=2,H515="Pagas prorrateadas"),2246.07*(F515*G515),AND(D515=2,H515="Pagas no prorrateadas"),1925.21*(F515*G515),AND(D515=3,H515="Pagas prorrateadas"),1775.44*(F515*G515),AND(D515=3,H515="Pagas no prorrateadas"),1521.81*(F515*G515),AND(D515=5,H515="Pagas prorrateadas"),1535.9*(F515*G515),AND(D515=5,H515="Pagas no prorrateadas"),1316.49*(F515*G515),AND(D515=7,H515="Pagas prorrateadas"),1493.61*(F515*G515),AND(D515=7,H515="Pagas no prorrateadas"),1280.24*(F515*G515)))</f>
        <v/>
      </c>
      <c r="K515" s="106" t="str">
        <f aca="false">IF(A515="","",IF(J515-I515&gt;=0,"OK",J515-I515))</f>
        <v/>
      </c>
    </row>
    <row r="516" customFormat="false" ht="14.25" hidden="false" customHeight="true" outlineLevel="0" collapsed="false">
      <c r="A516" s="106"/>
      <c r="B516" s="106"/>
      <c r="C516" s="107"/>
      <c r="D516" s="106"/>
      <c r="E516" s="106"/>
      <c r="F516" s="130" t="str">
        <f aca="false">IF(A516="","",MIN(E516/(37.5),1))</f>
        <v/>
      </c>
      <c r="G516" s="108"/>
      <c r="H516" s="106"/>
      <c r="I516" s="107"/>
      <c r="J516" s="131" t="str">
        <f aca="false" t="array" ref="J516:J516">IF(A516="","",ifs(AND(D516=1,H516="Pagas prorrateadas"),2705.41*(F516*G516),AND(D516=1,H516="Pagas no prorrateadas"),2318.93*(F516*G516),AND(D516=2,H516="Pagas prorrateadas"),2246.07*(F516*G516),AND(D516=2,H516="Pagas no prorrateadas"),1925.21*(F516*G516),AND(D516=3,H516="Pagas prorrateadas"),1775.44*(F516*G516),AND(D516=3,H516="Pagas no prorrateadas"),1521.81*(F516*G516),AND(D516=5,H516="Pagas prorrateadas"),1535.9*(F516*G516),AND(D516=5,H516="Pagas no prorrateadas"),1316.49*(F516*G516),AND(D516=7,H516="Pagas prorrateadas"),1493.61*(F516*G516),AND(D516=7,H516="Pagas no prorrateadas"),1280.24*(F516*G516)))</f>
        <v/>
      </c>
      <c r="K516" s="106" t="str">
        <f aca="false">IF(A516="","",IF(J516-I516&gt;=0,"OK",J516-I516))</f>
        <v/>
      </c>
    </row>
    <row r="517" customFormat="false" ht="14.25" hidden="false" customHeight="true" outlineLevel="0" collapsed="false">
      <c r="A517" s="106"/>
      <c r="B517" s="106"/>
      <c r="C517" s="107"/>
      <c r="D517" s="106"/>
      <c r="E517" s="106"/>
      <c r="F517" s="130" t="str">
        <f aca="false">IF(A517="","",MIN(E517/(37.5),1))</f>
        <v/>
      </c>
      <c r="G517" s="108"/>
      <c r="H517" s="106"/>
      <c r="I517" s="107"/>
      <c r="J517" s="131" t="str">
        <f aca="false" t="array" ref="J517:J517">IF(A517="","",ifs(AND(D517=1,H517="Pagas prorrateadas"),2705.41*(F517*G517),AND(D517=1,H517="Pagas no prorrateadas"),2318.93*(F517*G517),AND(D517=2,H517="Pagas prorrateadas"),2246.07*(F517*G517),AND(D517=2,H517="Pagas no prorrateadas"),1925.21*(F517*G517),AND(D517=3,H517="Pagas prorrateadas"),1775.44*(F517*G517),AND(D517=3,H517="Pagas no prorrateadas"),1521.81*(F517*G517),AND(D517=5,H517="Pagas prorrateadas"),1535.9*(F517*G517),AND(D517=5,H517="Pagas no prorrateadas"),1316.49*(F517*G517),AND(D517=7,H517="Pagas prorrateadas"),1493.61*(F517*G517),AND(D517=7,H517="Pagas no prorrateadas"),1280.24*(F517*G517)))</f>
        <v/>
      </c>
      <c r="K517" s="106" t="str">
        <f aca="false">IF(A517="","",IF(J517-I517&gt;=0,"OK",J517-I517))</f>
        <v/>
      </c>
    </row>
    <row r="518" customFormat="false" ht="14.25" hidden="false" customHeight="true" outlineLevel="0" collapsed="false">
      <c r="A518" s="106"/>
      <c r="B518" s="106"/>
      <c r="C518" s="107"/>
      <c r="D518" s="106"/>
      <c r="E518" s="106"/>
      <c r="F518" s="130" t="str">
        <f aca="false">IF(A518="","",MIN(E518/(37.5),1))</f>
        <v/>
      </c>
      <c r="G518" s="108"/>
      <c r="H518" s="106"/>
      <c r="I518" s="107"/>
      <c r="J518" s="131" t="str">
        <f aca="false" t="array" ref="J518:J518">IF(A518="","",ifs(AND(D518=1,H518="Pagas prorrateadas"),2705.41*(F518*G518),AND(D518=1,H518="Pagas no prorrateadas"),2318.93*(F518*G518),AND(D518=2,H518="Pagas prorrateadas"),2246.07*(F518*G518),AND(D518=2,H518="Pagas no prorrateadas"),1925.21*(F518*G518),AND(D518=3,H518="Pagas prorrateadas"),1775.44*(F518*G518),AND(D518=3,H518="Pagas no prorrateadas"),1521.81*(F518*G518),AND(D518=5,H518="Pagas prorrateadas"),1535.9*(F518*G518),AND(D518=5,H518="Pagas no prorrateadas"),1316.49*(F518*G518),AND(D518=7,H518="Pagas prorrateadas"),1493.61*(F518*G518),AND(D518=7,H518="Pagas no prorrateadas"),1280.24*(F518*G518)))</f>
        <v/>
      </c>
      <c r="K518" s="106" t="str">
        <f aca="false">IF(A518="","",IF(J518-I518&gt;=0,"OK",J518-I518))</f>
        <v/>
      </c>
    </row>
    <row r="519" customFormat="false" ht="14.25" hidden="false" customHeight="true" outlineLevel="0" collapsed="false">
      <c r="A519" s="106"/>
      <c r="B519" s="106"/>
      <c r="C519" s="107"/>
      <c r="D519" s="106"/>
      <c r="E519" s="106"/>
      <c r="F519" s="130" t="str">
        <f aca="false">IF(A519="","",MIN(E519/(37.5),1))</f>
        <v/>
      </c>
      <c r="G519" s="108"/>
      <c r="H519" s="106"/>
      <c r="I519" s="107"/>
      <c r="J519" s="131" t="str">
        <f aca="false" t="array" ref="J519:J519">IF(A519="","",ifs(AND(D519=1,H519="Pagas prorrateadas"),2705.41*(F519*G519),AND(D519=1,H519="Pagas no prorrateadas"),2318.93*(F519*G519),AND(D519=2,H519="Pagas prorrateadas"),2246.07*(F519*G519),AND(D519=2,H519="Pagas no prorrateadas"),1925.21*(F519*G519),AND(D519=3,H519="Pagas prorrateadas"),1775.44*(F519*G519),AND(D519=3,H519="Pagas no prorrateadas"),1521.81*(F519*G519),AND(D519=5,H519="Pagas prorrateadas"),1535.9*(F519*G519),AND(D519=5,H519="Pagas no prorrateadas"),1316.49*(F519*G519),AND(D519=7,H519="Pagas prorrateadas"),1493.61*(F519*G519),AND(D519=7,H519="Pagas no prorrateadas"),1280.24*(F519*G519)))</f>
        <v/>
      </c>
      <c r="K519" s="106" t="str">
        <f aca="false">IF(A519="","",IF(J519-I519&gt;=0,"OK",J519-I519))</f>
        <v/>
      </c>
    </row>
    <row r="520" customFormat="false" ht="14.25" hidden="false" customHeight="true" outlineLevel="0" collapsed="false">
      <c r="A520" s="106"/>
      <c r="B520" s="106"/>
      <c r="C520" s="107"/>
      <c r="D520" s="106"/>
      <c r="E520" s="106"/>
      <c r="F520" s="130" t="str">
        <f aca="false">IF(A520="","",MIN(E520/(37.5),1))</f>
        <v/>
      </c>
      <c r="G520" s="108"/>
      <c r="H520" s="106"/>
      <c r="I520" s="107"/>
      <c r="J520" s="131" t="str">
        <f aca="false" t="array" ref="J520:J520">IF(A520="","",ifs(AND(D520=1,H520="Pagas prorrateadas"),2705.41*(F520*G520),AND(D520=1,H520="Pagas no prorrateadas"),2318.93*(F520*G520),AND(D520=2,H520="Pagas prorrateadas"),2246.07*(F520*G520),AND(D520=2,H520="Pagas no prorrateadas"),1925.21*(F520*G520),AND(D520=3,H520="Pagas prorrateadas"),1775.44*(F520*G520),AND(D520=3,H520="Pagas no prorrateadas"),1521.81*(F520*G520),AND(D520=5,H520="Pagas prorrateadas"),1535.9*(F520*G520),AND(D520=5,H520="Pagas no prorrateadas"),1316.49*(F520*G520),AND(D520=7,H520="Pagas prorrateadas"),1493.61*(F520*G520),AND(D520=7,H520="Pagas no prorrateadas"),1280.24*(F520*G520)))</f>
        <v/>
      </c>
      <c r="K520" s="106" t="str">
        <f aca="false">IF(A520="","",IF(J520-I520&gt;=0,"OK",J520-I520))</f>
        <v/>
      </c>
    </row>
    <row r="521" customFormat="false" ht="14.25" hidden="false" customHeight="true" outlineLevel="0" collapsed="false">
      <c r="A521" s="106"/>
      <c r="B521" s="106"/>
      <c r="C521" s="107"/>
      <c r="D521" s="106"/>
      <c r="E521" s="106"/>
      <c r="F521" s="130" t="str">
        <f aca="false">IF(A521="","",MIN(E521/(37.5),1))</f>
        <v/>
      </c>
      <c r="G521" s="108"/>
      <c r="H521" s="106"/>
      <c r="I521" s="107"/>
      <c r="J521" s="131" t="str">
        <f aca="false" t="array" ref="J521:J521">IF(A521="","",ifs(AND(D521=1,H521="Pagas prorrateadas"),2705.41*(F521*G521),AND(D521=1,H521="Pagas no prorrateadas"),2318.93*(F521*G521),AND(D521=2,H521="Pagas prorrateadas"),2246.07*(F521*G521),AND(D521=2,H521="Pagas no prorrateadas"),1925.21*(F521*G521),AND(D521=3,H521="Pagas prorrateadas"),1775.44*(F521*G521),AND(D521=3,H521="Pagas no prorrateadas"),1521.81*(F521*G521),AND(D521=5,H521="Pagas prorrateadas"),1535.9*(F521*G521),AND(D521=5,H521="Pagas no prorrateadas"),1316.49*(F521*G521),AND(D521=7,H521="Pagas prorrateadas"),1493.61*(F521*G521),AND(D521=7,H521="Pagas no prorrateadas"),1280.24*(F521*G521)))</f>
        <v/>
      </c>
      <c r="K521" s="106" t="str">
        <f aca="false">IF(A521="","",IF(J521-I521&gt;=0,"OK",J521-I521))</f>
        <v/>
      </c>
    </row>
    <row r="522" customFormat="false" ht="14.25" hidden="false" customHeight="true" outlineLevel="0" collapsed="false">
      <c r="A522" s="106"/>
      <c r="B522" s="106"/>
      <c r="C522" s="107"/>
      <c r="D522" s="106"/>
      <c r="E522" s="106"/>
      <c r="F522" s="130" t="str">
        <f aca="false">IF(A522="","",MIN(E522/(37.5),1))</f>
        <v/>
      </c>
      <c r="G522" s="108"/>
      <c r="H522" s="106"/>
      <c r="I522" s="107"/>
      <c r="J522" s="131" t="str">
        <f aca="false" t="array" ref="J522:J522">IF(A522="","",ifs(AND(D522=1,H522="Pagas prorrateadas"),2705.41*(F522*G522),AND(D522=1,H522="Pagas no prorrateadas"),2318.93*(F522*G522),AND(D522=2,H522="Pagas prorrateadas"),2246.07*(F522*G522),AND(D522=2,H522="Pagas no prorrateadas"),1925.21*(F522*G522),AND(D522=3,H522="Pagas prorrateadas"),1775.44*(F522*G522),AND(D522=3,H522="Pagas no prorrateadas"),1521.81*(F522*G522),AND(D522=5,H522="Pagas prorrateadas"),1535.9*(F522*G522),AND(D522=5,H522="Pagas no prorrateadas"),1316.49*(F522*G522),AND(D522=7,H522="Pagas prorrateadas"),1493.61*(F522*G522),AND(D522=7,H522="Pagas no prorrateadas"),1280.24*(F522*G522)))</f>
        <v/>
      </c>
      <c r="K522" s="106" t="str">
        <f aca="false">IF(A522="","",IF(J522-I522&gt;=0,"OK",J522-I522))</f>
        <v/>
      </c>
    </row>
    <row r="523" customFormat="false" ht="14.25" hidden="false" customHeight="true" outlineLevel="0" collapsed="false">
      <c r="A523" s="106"/>
      <c r="B523" s="106"/>
      <c r="C523" s="107"/>
      <c r="D523" s="106"/>
      <c r="E523" s="106"/>
      <c r="F523" s="130" t="str">
        <f aca="false">IF(A523="","",MIN(E523/(37.5),1))</f>
        <v/>
      </c>
      <c r="G523" s="108"/>
      <c r="H523" s="106"/>
      <c r="I523" s="107"/>
      <c r="J523" s="131" t="str">
        <f aca="false" t="array" ref="J523:J523">IF(A523="","",ifs(AND(D523=1,H523="Pagas prorrateadas"),2705.41*(F523*G523),AND(D523=1,H523="Pagas no prorrateadas"),2318.93*(F523*G523),AND(D523=2,H523="Pagas prorrateadas"),2246.07*(F523*G523),AND(D523=2,H523="Pagas no prorrateadas"),1925.21*(F523*G523),AND(D523=3,H523="Pagas prorrateadas"),1775.44*(F523*G523),AND(D523=3,H523="Pagas no prorrateadas"),1521.81*(F523*G523),AND(D523=5,H523="Pagas prorrateadas"),1535.9*(F523*G523),AND(D523=5,H523="Pagas no prorrateadas"),1316.49*(F523*G523),AND(D523=7,H523="Pagas prorrateadas"),1493.61*(F523*G523),AND(D523=7,H523="Pagas no prorrateadas"),1280.24*(F523*G523)))</f>
        <v/>
      </c>
      <c r="K523" s="106" t="str">
        <f aca="false">IF(A523="","",IF(J523-I523&gt;=0,"OK",J523-I523))</f>
        <v/>
      </c>
    </row>
    <row r="524" customFormat="false" ht="14.25" hidden="false" customHeight="true" outlineLevel="0" collapsed="false">
      <c r="A524" s="106"/>
      <c r="B524" s="106"/>
      <c r="C524" s="107"/>
      <c r="D524" s="106"/>
      <c r="E524" s="106"/>
      <c r="F524" s="130" t="str">
        <f aca="false">IF(A524="","",MIN(E524/(37.5),1))</f>
        <v/>
      </c>
      <c r="G524" s="108"/>
      <c r="H524" s="106"/>
      <c r="I524" s="107"/>
      <c r="J524" s="131" t="str">
        <f aca="false" t="array" ref="J524:J524">IF(A524="","",ifs(AND(D524=1,H524="Pagas prorrateadas"),2705.41*(F524*G524),AND(D524=1,H524="Pagas no prorrateadas"),2318.93*(F524*G524),AND(D524=2,H524="Pagas prorrateadas"),2246.07*(F524*G524),AND(D524=2,H524="Pagas no prorrateadas"),1925.21*(F524*G524),AND(D524=3,H524="Pagas prorrateadas"),1775.44*(F524*G524),AND(D524=3,H524="Pagas no prorrateadas"),1521.81*(F524*G524),AND(D524=5,H524="Pagas prorrateadas"),1535.9*(F524*G524),AND(D524=5,H524="Pagas no prorrateadas"),1316.49*(F524*G524),AND(D524=7,H524="Pagas prorrateadas"),1493.61*(F524*G524),AND(D524=7,H524="Pagas no prorrateadas"),1280.24*(F524*G524)))</f>
        <v/>
      </c>
      <c r="K524" s="106" t="str">
        <f aca="false">IF(A524="","",IF(J524-I524&gt;=0,"OK",J524-I524))</f>
        <v/>
      </c>
    </row>
    <row r="525" customFormat="false" ht="14.25" hidden="false" customHeight="true" outlineLevel="0" collapsed="false">
      <c r="A525" s="106"/>
      <c r="B525" s="106"/>
      <c r="C525" s="107"/>
      <c r="D525" s="106"/>
      <c r="E525" s="106"/>
      <c r="F525" s="130" t="str">
        <f aca="false">IF(A525="","",MIN(E525/(37.5),1))</f>
        <v/>
      </c>
      <c r="G525" s="108"/>
      <c r="H525" s="106"/>
      <c r="I525" s="107"/>
      <c r="J525" s="131" t="str">
        <f aca="false" t="array" ref="J525:J525">IF(A525="","",ifs(AND(D525=1,H525="Pagas prorrateadas"),2705.41*(F525*G525),AND(D525=1,H525="Pagas no prorrateadas"),2318.93*(F525*G525),AND(D525=2,H525="Pagas prorrateadas"),2246.07*(F525*G525),AND(D525=2,H525="Pagas no prorrateadas"),1925.21*(F525*G525),AND(D525=3,H525="Pagas prorrateadas"),1775.44*(F525*G525),AND(D525=3,H525="Pagas no prorrateadas"),1521.81*(F525*G525),AND(D525=5,H525="Pagas prorrateadas"),1535.9*(F525*G525),AND(D525=5,H525="Pagas no prorrateadas"),1316.49*(F525*G525),AND(D525=7,H525="Pagas prorrateadas"),1493.61*(F525*G525),AND(D525=7,H525="Pagas no prorrateadas"),1280.24*(F525*G525)))</f>
        <v/>
      </c>
      <c r="K525" s="106" t="str">
        <f aca="false">IF(A525="","",IF(J525-I525&gt;=0,"OK",J525-I525))</f>
        <v/>
      </c>
    </row>
    <row r="526" customFormat="false" ht="14.25" hidden="false" customHeight="true" outlineLevel="0" collapsed="false">
      <c r="A526" s="106"/>
      <c r="B526" s="106"/>
      <c r="C526" s="107"/>
      <c r="D526" s="106"/>
      <c r="E526" s="106"/>
      <c r="F526" s="130" t="str">
        <f aca="false">IF(A526="","",MIN(E526/(37.5),1))</f>
        <v/>
      </c>
      <c r="G526" s="108"/>
      <c r="H526" s="106"/>
      <c r="I526" s="107"/>
      <c r="J526" s="131" t="str">
        <f aca="false" t="array" ref="J526:J526">IF(A526="","",ifs(AND(D526=1,H526="Pagas prorrateadas"),2705.41*(F526*G526),AND(D526=1,H526="Pagas no prorrateadas"),2318.93*(F526*G526),AND(D526=2,H526="Pagas prorrateadas"),2246.07*(F526*G526),AND(D526=2,H526="Pagas no prorrateadas"),1925.21*(F526*G526),AND(D526=3,H526="Pagas prorrateadas"),1775.44*(F526*G526),AND(D526=3,H526="Pagas no prorrateadas"),1521.81*(F526*G526),AND(D526=5,H526="Pagas prorrateadas"),1535.9*(F526*G526),AND(D526=5,H526="Pagas no prorrateadas"),1316.49*(F526*G526),AND(D526=7,H526="Pagas prorrateadas"),1493.61*(F526*G526),AND(D526=7,H526="Pagas no prorrateadas"),1280.24*(F526*G526)))</f>
        <v/>
      </c>
      <c r="K526" s="106" t="str">
        <f aca="false">IF(A526="","",IF(J526-I526&gt;=0,"OK",J526-I526))</f>
        <v/>
      </c>
    </row>
    <row r="527" customFormat="false" ht="14.25" hidden="false" customHeight="true" outlineLevel="0" collapsed="false">
      <c r="A527" s="106"/>
      <c r="B527" s="106"/>
      <c r="C527" s="107"/>
      <c r="D527" s="106"/>
      <c r="E527" s="106"/>
      <c r="F527" s="130" t="str">
        <f aca="false">IF(A527="","",MIN(E527/(37.5),1))</f>
        <v/>
      </c>
      <c r="G527" s="108"/>
      <c r="H527" s="106"/>
      <c r="I527" s="107"/>
      <c r="J527" s="131" t="str">
        <f aca="false" t="array" ref="J527:J527">IF(A527="","",ifs(AND(D527=1,H527="Pagas prorrateadas"),2705.41*(F527*G527),AND(D527=1,H527="Pagas no prorrateadas"),2318.93*(F527*G527),AND(D527=2,H527="Pagas prorrateadas"),2246.07*(F527*G527),AND(D527=2,H527="Pagas no prorrateadas"),1925.21*(F527*G527),AND(D527=3,H527="Pagas prorrateadas"),1775.44*(F527*G527),AND(D527=3,H527="Pagas no prorrateadas"),1521.81*(F527*G527),AND(D527=5,H527="Pagas prorrateadas"),1535.9*(F527*G527),AND(D527=5,H527="Pagas no prorrateadas"),1316.49*(F527*G527),AND(D527=7,H527="Pagas prorrateadas"),1493.61*(F527*G527),AND(D527=7,H527="Pagas no prorrateadas"),1280.24*(F527*G527)))</f>
        <v/>
      </c>
      <c r="K527" s="106" t="str">
        <f aca="false">IF(A527="","",IF(J527-I527&gt;=0,"OK",J527-I527))</f>
        <v/>
      </c>
    </row>
    <row r="528" customFormat="false" ht="14.25" hidden="false" customHeight="true" outlineLevel="0" collapsed="false">
      <c r="A528" s="106"/>
      <c r="B528" s="106"/>
      <c r="C528" s="107"/>
      <c r="D528" s="106"/>
      <c r="E528" s="106"/>
      <c r="F528" s="130" t="str">
        <f aca="false">IF(A528="","",MIN(E528/(37.5),1))</f>
        <v/>
      </c>
      <c r="G528" s="108"/>
      <c r="H528" s="106"/>
      <c r="I528" s="107"/>
      <c r="J528" s="131" t="str">
        <f aca="false" t="array" ref="J528:J528">IF(A528="","",ifs(AND(D528=1,H528="Pagas prorrateadas"),2705.41*(F528*G528),AND(D528=1,H528="Pagas no prorrateadas"),2318.93*(F528*G528),AND(D528=2,H528="Pagas prorrateadas"),2246.07*(F528*G528),AND(D528=2,H528="Pagas no prorrateadas"),1925.21*(F528*G528),AND(D528=3,H528="Pagas prorrateadas"),1775.44*(F528*G528),AND(D528=3,H528="Pagas no prorrateadas"),1521.81*(F528*G528),AND(D528=5,H528="Pagas prorrateadas"),1535.9*(F528*G528),AND(D528=5,H528="Pagas no prorrateadas"),1316.49*(F528*G528),AND(D528=7,H528="Pagas prorrateadas"),1493.61*(F528*G528),AND(D528=7,H528="Pagas no prorrateadas"),1280.24*(F528*G528)))</f>
        <v/>
      </c>
      <c r="K528" s="106" t="str">
        <f aca="false">IF(A528="","",IF(J528-I528&gt;=0,"OK",J528-I528))</f>
        <v/>
      </c>
    </row>
    <row r="529" customFormat="false" ht="14.25" hidden="false" customHeight="true" outlineLevel="0" collapsed="false">
      <c r="A529" s="106"/>
      <c r="B529" s="106"/>
      <c r="C529" s="107"/>
      <c r="D529" s="106"/>
      <c r="E529" s="106"/>
      <c r="F529" s="130" t="str">
        <f aca="false">IF(A529="","",MIN(E529/(37.5),1))</f>
        <v/>
      </c>
      <c r="G529" s="108"/>
      <c r="H529" s="106"/>
      <c r="I529" s="107"/>
      <c r="J529" s="131" t="str">
        <f aca="false" t="array" ref="J529:J529">IF(A529="","",ifs(AND(D529=1,H529="Pagas prorrateadas"),2705.41*(F529*G529),AND(D529=1,H529="Pagas no prorrateadas"),2318.93*(F529*G529),AND(D529=2,H529="Pagas prorrateadas"),2246.07*(F529*G529),AND(D529=2,H529="Pagas no prorrateadas"),1925.21*(F529*G529),AND(D529=3,H529="Pagas prorrateadas"),1775.44*(F529*G529),AND(D529=3,H529="Pagas no prorrateadas"),1521.81*(F529*G529),AND(D529=5,H529="Pagas prorrateadas"),1535.9*(F529*G529),AND(D529=5,H529="Pagas no prorrateadas"),1316.49*(F529*G529),AND(D529=7,H529="Pagas prorrateadas"),1493.61*(F529*G529),AND(D529=7,H529="Pagas no prorrateadas"),1280.24*(F529*G529)))</f>
        <v/>
      </c>
      <c r="K529" s="106" t="str">
        <f aca="false">IF(A529="","",IF(J529-I529&gt;=0,"OK",J529-I529))</f>
        <v/>
      </c>
    </row>
    <row r="530" customFormat="false" ht="14.25" hidden="false" customHeight="true" outlineLevel="0" collapsed="false">
      <c r="A530" s="106"/>
      <c r="B530" s="106"/>
      <c r="C530" s="107"/>
      <c r="D530" s="106"/>
      <c r="E530" s="106"/>
      <c r="F530" s="130" t="str">
        <f aca="false">IF(A530="","",MIN(E530/(37.5),1))</f>
        <v/>
      </c>
      <c r="G530" s="108"/>
      <c r="H530" s="106"/>
      <c r="I530" s="107"/>
      <c r="J530" s="131" t="str">
        <f aca="false" t="array" ref="J530:J530">IF(A530="","",ifs(AND(D530=1,H530="Pagas prorrateadas"),2705.41*(F530*G530),AND(D530=1,H530="Pagas no prorrateadas"),2318.93*(F530*G530),AND(D530=2,H530="Pagas prorrateadas"),2246.07*(F530*G530),AND(D530=2,H530="Pagas no prorrateadas"),1925.21*(F530*G530),AND(D530=3,H530="Pagas prorrateadas"),1775.44*(F530*G530),AND(D530=3,H530="Pagas no prorrateadas"),1521.81*(F530*G530),AND(D530=5,H530="Pagas prorrateadas"),1535.9*(F530*G530),AND(D530=5,H530="Pagas no prorrateadas"),1316.49*(F530*G530),AND(D530=7,H530="Pagas prorrateadas"),1493.61*(F530*G530),AND(D530=7,H530="Pagas no prorrateadas"),1280.24*(F530*G530)))</f>
        <v/>
      </c>
      <c r="K530" s="106" t="str">
        <f aca="false">IF(A530="","",IF(J530-I530&gt;=0,"OK",J530-I530))</f>
        <v/>
      </c>
    </row>
    <row r="531" customFormat="false" ht="14.25" hidden="false" customHeight="true" outlineLevel="0" collapsed="false">
      <c r="A531" s="106"/>
      <c r="B531" s="106"/>
      <c r="C531" s="107"/>
      <c r="D531" s="106"/>
      <c r="E531" s="106"/>
      <c r="F531" s="130" t="str">
        <f aca="false">IF(A531="","",MIN(E531/(37.5),1))</f>
        <v/>
      </c>
      <c r="G531" s="108"/>
      <c r="H531" s="106"/>
      <c r="I531" s="107"/>
      <c r="J531" s="131" t="str">
        <f aca="false" t="array" ref="J531:J531">IF(A531="","",ifs(AND(D531=1,H531="Pagas prorrateadas"),2705.41*(F531*G531),AND(D531=1,H531="Pagas no prorrateadas"),2318.93*(F531*G531),AND(D531=2,H531="Pagas prorrateadas"),2246.07*(F531*G531),AND(D531=2,H531="Pagas no prorrateadas"),1925.21*(F531*G531),AND(D531=3,H531="Pagas prorrateadas"),1775.44*(F531*G531),AND(D531=3,H531="Pagas no prorrateadas"),1521.81*(F531*G531),AND(D531=5,H531="Pagas prorrateadas"),1535.9*(F531*G531),AND(D531=5,H531="Pagas no prorrateadas"),1316.49*(F531*G531),AND(D531=7,H531="Pagas prorrateadas"),1493.61*(F531*G531),AND(D531=7,H531="Pagas no prorrateadas"),1280.24*(F531*G531)))</f>
        <v/>
      </c>
      <c r="K531" s="106" t="str">
        <f aca="false">IF(A531="","",IF(J531-I531&gt;=0,"OK",J531-I531))</f>
        <v/>
      </c>
    </row>
    <row r="532" customFormat="false" ht="14.25" hidden="false" customHeight="true" outlineLevel="0" collapsed="false">
      <c r="A532" s="106"/>
      <c r="B532" s="106"/>
      <c r="C532" s="107"/>
      <c r="D532" s="106"/>
      <c r="E532" s="106"/>
      <c r="F532" s="130" t="str">
        <f aca="false">IF(A532="","",MIN(E532/(37.5),1))</f>
        <v/>
      </c>
      <c r="G532" s="108"/>
      <c r="H532" s="106"/>
      <c r="I532" s="107"/>
      <c r="J532" s="131" t="str">
        <f aca="false" t="array" ref="J532:J532">IF(A532="","",ifs(AND(D532=1,H532="Pagas prorrateadas"),2705.41*(F532*G532),AND(D532=1,H532="Pagas no prorrateadas"),2318.93*(F532*G532),AND(D532=2,H532="Pagas prorrateadas"),2246.07*(F532*G532),AND(D532=2,H532="Pagas no prorrateadas"),1925.21*(F532*G532),AND(D532=3,H532="Pagas prorrateadas"),1775.44*(F532*G532),AND(D532=3,H532="Pagas no prorrateadas"),1521.81*(F532*G532),AND(D532=5,H532="Pagas prorrateadas"),1535.9*(F532*G532),AND(D532=5,H532="Pagas no prorrateadas"),1316.49*(F532*G532),AND(D532=7,H532="Pagas prorrateadas"),1493.61*(F532*G532),AND(D532=7,H532="Pagas no prorrateadas"),1280.24*(F532*G532)))</f>
        <v/>
      </c>
      <c r="K532" s="106" t="str">
        <f aca="false">IF(A532="","",IF(J532-I532&gt;=0,"OK",J532-I532))</f>
        <v/>
      </c>
    </row>
    <row r="533" customFormat="false" ht="14.25" hidden="false" customHeight="true" outlineLevel="0" collapsed="false">
      <c r="A533" s="106"/>
      <c r="B533" s="106"/>
      <c r="C533" s="107"/>
      <c r="D533" s="106"/>
      <c r="E533" s="106"/>
      <c r="F533" s="130" t="str">
        <f aca="false">IF(A533="","",MIN(E533/(37.5),1))</f>
        <v/>
      </c>
      <c r="G533" s="108"/>
      <c r="H533" s="106"/>
      <c r="I533" s="107"/>
      <c r="J533" s="131" t="str">
        <f aca="false" t="array" ref="J533:J533">IF(A533="","",ifs(AND(D533=1,H533="Pagas prorrateadas"),2705.41*(F533*G533),AND(D533=1,H533="Pagas no prorrateadas"),2318.93*(F533*G533),AND(D533=2,H533="Pagas prorrateadas"),2246.07*(F533*G533),AND(D533=2,H533="Pagas no prorrateadas"),1925.21*(F533*G533),AND(D533=3,H533="Pagas prorrateadas"),1775.44*(F533*G533),AND(D533=3,H533="Pagas no prorrateadas"),1521.81*(F533*G533),AND(D533=5,H533="Pagas prorrateadas"),1535.9*(F533*G533),AND(D533=5,H533="Pagas no prorrateadas"),1316.49*(F533*G533),AND(D533=7,H533="Pagas prorrateadas"),1493.61*(F533*G533),AND(D533=7,H533="Pagas no prorrateadas"),1280.24*(F533*G533)))</f>
        <v/>
      </c>
      <c r="K533" s="106" t="str">
        <f aca="false">IF(A533="","",IF(J533-I533&gt;=0,"OK",J533-I533))</f>
        <v/>
      </c>
    </row>
    <row r="534" customFormat="false" ht="14.25" hidden="false" customHeight="true" outlineLevel="0" collapsed="false">
      <c r="A534" s="106"/>
      <c r="B534" s="106"/>
      <c r="C534" s="107"/>
      <c r="D534" s="106"/>
      <c r="E534" s="106"/>
      <c r="F534" s="130" t="str">
        <f aca="false">IF(A534="","",MIN(E534/(37.5),1))</f>
        <v/>
      </c>
      <c r="G534" s="108"/>
      <c r="H534" s="106"/>
      <c r="I534" s="107"/>
      <c r="J534" s="131" t="str">
        <f aca="false" t="array" ref="J534:J534">IF(A534="","",ifs(AND(D534=1,H534="Pagas prorrateadas"),2705.41*(F534*G534),AND(D534=1,H534="Pagas no prorrateadas"),2318.93*(F534*G534),AND(D534=2,H534="Pagas prorrateadas"),2246.07*(F534*G534),AND(D534=2,H534="Pagas no prorrateadas"),1925.21*(F534*G534),AND(D534=3,H534="Pagas prorrateadas"),1775.44*(F534*G534),AND(D534=3,H534="Pagas no prorrateadas"),1521.81*(F534*G534),AND(D534=5,H534="Pagas prorrateadas"),1535.9*(F534*G534),AND(D534=5,H534="Pagas no prorrateadas"),1316.49*(F534*G534),AND(D534=7,H534="Pagas prorrateadas"),1493.61*(F534*G534),AND(D534=7,H534="Pagas no prorrateadas"),1280.24*(F534*G534)))</f>
        <v/>
      </c>
      <c r="K534" s="106" t="str">
        <f aca="false">IF(A534="","",IF(J534-I534&gt;=0,"OK",J534-I534))</f>
        <v/>
      </c>
    </row>
    <row r="535" customFormat="false" ht="14.25" hidden="false" customHeight="true" outlineLevel="0" collapsed="false">
      <c r="A535" s="106"/>
      <c r="B535" s="106"/>
      <c r="C535" s="107"/>
      <c r="D535" s="106"/>
      <c r="E535" s="106"/>
      <c r="F535" s="130" t="str">
        <f aca="false">IF(A535="","",MIN(E535/(37.5),1))</f>
        <v/>
      </c>
      <c r="G535" s="108"/>
      <c r="H535" s="106"/>
      <c r="I535" s="107"/>
      <c r="J535" s="131" t="str">
        <f aca="false" t="array" ref="J535:J535">IF(A535="","",ifs(AND(D535=1,H535="Pagas prorrateadas"),2705.41*(F535*G535),AND(D535=1,H535="Pagas no prorrateadas"),2318.93*(F535*G535),AND(D535=2,H535="Pagas prorrateadas"),2246.07*(F535*G535),AND(D535=2,H535="Pagas no prorrateadas"),1925.21*(F535*G535),AND(D535=3,H535="Pagas prorrateadas"),1775.44*(F535*G535),AND(D535=3,H535="Pagas no prorrateadas"),1521.81*(F535*G535),AND(D535=5,H535="Pagas prorrateadas"),1535.9*(F535*G535),AND(D535=5,H535="Pagas no prorrateadas"),1316.49*(F535*G535),AND(D535=7,H535="Pagas prorrateadas"),1493.61*(F535*G535),AND(D535=7,H535="Pagas no prorrateadas"),1280.24*(F535*G535)))</f>
        <v/>
      </c>
      <c r="K535" s="106" t="str">
        <f aca="false">IF(A535="","",IF(J535-I535&gt;=0,"OK",J535-I535))</f>
        <v/>
      </c>
    </row>
    <row r="536" customFormat="false" ht="14.25" hidden="false" customHeight="true" outlineLevel="0" collapsed="false">
      <c r="A536" s="106"/>
      <c r="B536" s="106"/>
      <c r="C536" s="107"/>
      <c r="D536" s="106"/>
      <c r="E536" s="106"/>
      <c r="F536" s="130" t="str">
        <f aca="false">IF(A536="","",MIN(E536/(37.5),1))</f>
        <v/>
      </c>
      <c r="G536" s="108"/>
      <c r="H536" s="106"/>
      <c r="I536" s="107"/>
      <c r="J536" s="131" t="str">
        <f aca="false" t="array" ref="J536:J536">IF(A536="","",ifs(AND(D536=1,H536="Pagas prorrateadas"),2705.41*(F536*G536),AND(D536=1,H536="Pagas no prorrateadas"),2318.93*(F536*G536),AND(D536=2,H536="Pagas prorrateadas"),2246.07*(F536*G536),AND(D536=2,H536="Pagas no prorrateadas"),1925.21*(F536*G536),AND(D536=3,H536="Pagas prorrateadas"),1775.44*(F536*G536),AND(D536=3,H536="Pagas no prorrateadas"),1521.81*(F536*G536),AND(D536=5,H536="Pagas prorrateadas"),1535.9*(F536*G536),AND(D536=5,H536="Pagas no prorrateadas"),1316.49*(F536*G536),AND(D536=7,H536="Pagas prorrateadas"),1493.61*(F536*G536),AND(D536=7,H536="Pagas no prorrateadas"),1280.24*(F536*G536)))</f>
        <v/>
      </c>
      <c r="K536" s="106" t="str">
        <f aca="false">IF(A536="","",IF(J536-I536&gt;=0,"OK",J536-I536))</f>
        <v/>
      </c>
    </row>
    <row r="537" customFormat="false" ht="14.25" hidden="false" customHeight="true" outlineLevel="0" collapsed="false">
      <c r="A537" s="106"/>
      <c r="B537" s="106"/>
      <c r="C537" s="107"/>
      <c r="D537" s="106"/>
      <c r="E537" s="106"/>
      <c r="F537" s="130" t="str">
        <f aca="false">IF(A537="","",MIN(E537/(37.5),1))</f>
        <v/>
      </c>
      <c r="G537" s="108"/>
      <c r="H537" s="106"/>
      <c r="I537" s="107"/>
      <c r="J537" s="131" t="str">
        <f aca="false" t="array" ref="J537:J537">IF(A537="","",ifs(AND(D537=1,H537="Pagas prorrateadas"),2705.41*(F537*G537),AND(D537=1,H537="Pagas no prorrateadas"),2318.93*(F537*G537),AND(D537=2,H537="Pagas prorrateadas"),2246.07*(F537*G537),AND(D537=2,H537="Pagas no prorrateadas"),1925.21*(F537*G537),AND(D537=3,H537="Pagas prorrateadas"),1775.44*(F537*G537),AND(D537=3,H537="Pagas no prorrateadas"),1521.81*(F537*G537),AND(D537=5,H537="Pagas prorrateadas"),1535.9*(F537*G537),AND(D537=5,H537="Pagas no prorrateadas"),1316.49*(F537*G537),AND(D537=7,H537="Pagas prorrateadas"),1493.61*(F537*G537),AND(D537=7,H537="Pagas no prorrateadas"),1280.24*(F537*G537)))</f>
        <v/>
      </c>
      <c r="K537" s="106" t="str">
        <f aca="false">IF(A537="","",IF(J537-I537&gt;=0,"OK",J537-I537))</f>
        <v/>
      </c>
    </row>
    <row r="538" customFormat="false" ht="14.25" hidden="false" customHeight="true" outlineLevel="0" collapsed="false">
      <c r="A538" s="106"/>
      <c r="B538" s="106"/>
      <c r="C538" s="107"/>
      <c r="D538" s="106"/>
      <c r="E538" s="106"/>
      <c r="F538" s="130" t="str">
        <f aca="false">IF(A538="","",MIN(E538/(37.5),1))</f>
        <v/>
      </c>
      <c r="G538" s="108"/>
      <c r="H538" s="106"/>
      <c r="I538" s="107"/>
      <c r="J538" s="131" t="str">
        <f aca="false" t="array" ref="J538:J538">IF(A538="","",ifs(AND(D538=1,H538="Pagas prorrateadas"),2705.41*(F538*G538),AND(D538=1,H538="Pagas no prorrateadas"),2318.93*(F538*G538),AND(D538=2,H538="Pagas prorrateadas"),2246.07*(F538*G538),AND(D538=2,H538="Pagas no prorrateadas"),1925.21*(F538*G538),AND(D538=3,H538="Pagas prorrateadas"),1775.44*(F538*G538),AND(D538=3,H538="Pagas no prorrateadas"),1521.81*(F538*G538),AND(D538=5,H538="Pagas prorrateadas"),1535.9*(F538*G538),AND(D538=5,H538="Pagas no prorrateadas"),1316.49*(F538*G538),AND(D538=7,H538="Pagas prorrateadas"),1493.61*(F538*G538),AND(D538=7,H538="Pagas no prorrateadas"),1280.24*(F538*G538)))</f>
        <v/>
      </c>
      <c r="K538" s="106" t="str">
        <f aca="false">IF(A538="","",IF(J538-I538&gt;=0,"OK",J538-I538))</f>
        <v/>
      </c>
    </row>
    <row r="539" customFormat="false" ht="14.25" hidden="false" customHeight="true" outlineLevel="0" collapsed="false">
      <c r="A539" s="106"/>
      <c r="B539" s="106"/>
      <c r="C539" s="107"/>
      <c r="D539" s="106"/>
      <c r="E539" s="106"/>
      <c r="F539" s="130" t="str">
        <f aca="false">IF(A539="","",MIN(E539/(37.5),1))</f>
        <v/>
      </c>
      <c r="G539" s="108"/>
      <c r="H539" s="106"/>
      <c r="I539" s="107"/>
      <c r="J539" s="131" t="str">
        <f aca="false" t="array" ref="J539:J539">IF(A539="","",ifs(AND(D539=1,H539="Pagas prorrateadas"),2705.41*(F539*G539),AND(D539=1,H539="Pagas no prorrateadas"),2318.93*(F539*G539),AND(D539=2,H539="Pagas prorrateadas"),2246.07*(F539*G539),AND(D539=2,H539="Pagas no prorrateadas"),1925.21*(F539*G539),AND(D539=3,H539="Pagas prorrateadas"),1775.44*(F539*G539),AND(D539=3,H539="Pagas no prorrateadas"),1521.81*(F539*G539),AND(D539=5,H539="Pagas prorrateadas"),1535.9*(F539*G539),AND(D539=5,H539="Pagas no prorrateadas"),1316.49*(F539*G539),AND(D539=7,H539="Pagas prorrateadas"),1493.61*(F539*G539),AND(D539=7,H539="Pagas no prorrateadas"),1280.24*(F539*G539)))</f>
        <v/>
      </c>
      <c r="K539" s="106" t="str">
        <f aca="false">IF(A539="","",IF(J539-I539&gt;=0,"OK",J539-I539))</f>
        <v/>
      </c>
    </row>
    <row r="540" customFormat="false" ht="14.25" hidden="false" customHeight="true" outlineLevel="0" collapsed="false">
      <c r="A540" s="106"/>
      <c r="B540" s="106"/>
      <c r="C540" s="107"/>
      <c r="D540" s="106"/>
      <c r="E540" s="106"/>
      <c r="F540" s="130" t="str">
        <f aca="false">IF(A540="","",MIN(E540/(37.5),1))</f>
        <v/>
      </c>
      <c r="G540" s="108"/>
      <c r="H540" s="106"/>
      <c r="I540" s="107"/>
      <c r="J540" s="131" t="str">
        <f aca="false" t="array" ref="J540:J540">IF(A540="","",ifs(AND(D540=1,H540="Pagas prorrateadas"),2705.41*(F540*G540),AND(D540=1,H540="Pagas no prorrateadas"),2318.93*(F540*G540),AND(D540=2,H540="Pagas prorrateadas"),2246.07*(F540*G540),AND(D540=2,H540="Pagas no prorrateadas"),1925.21*(F540*G540),AND(D540=3,H540="Pagas prorrateadas"),1775.44*(F540*G540),AND(D540=3,H540="Pagas no prorrateadas"),1521.81*(F540*G540),AND(D540=5,H540="Pagas prorrateadas"),1535.9*(F540*G540),AND(D540=5,H540="Pagas no prorrateadas"),1316.49*(F540*G540),AND(D540=7,H540="Pagas prorrateadas"),1493.61*(F540*G540),AND(D540=7,H540="Pagas no prorrateadas"),1280.24*(F540*G540)))</f>
        <v/>
      </c>
      <c r="K540" s="106" t="str">
        <f aca="false">IF(A540="","",IF(J540-I540&gt;=0,"OK",J540-I540))</f>
        <v/>
      </c>
    </row>
    <row r="541" customFormat="false" ht="14.25" hidden="false" customHeight="true" outlineLevel="0" collapsed="false">
      <c r="A541" s="106"/>
      <c r="B541" s="106"/>
      <c r="C541" s="107"/>
      <c r="D541" s="106"/>
      <c r="E541" s="106"/>
      <c r="F541" s="130" t="str">
        <f aca="false">IF(A541="","",MIN(E541/(37.5),1))</f>
        <v/>
      </c>
      <c r="G541" s="108"/>
      <c r="H541" s="106"/>
      <c r="I541" s="107"/>
      <c r="J541" s="131" t="str">
        <f aca="false" t="array" ref="J541:J541">IF(A541="","",ifs(AND(D541=1,H541="Pagas prorrateadas"),2705.41*(F541*G541),AND(D541=1,H541="Pagas no prorrateadas"),2318.93*(F541*G541),AND(D541=2,H541="Pagas prorrateadas"),2246.07*(F541*G541),AND(D541=2,H541="Pagas no prorrateadas"),1925.21*(F541*G541),AND(D541=3,H541="Pagas prorrateadas"),1775.44*(F541*G541),AND(D541=3,H541="Pagas no prorrateadas"),1521.81*(F541*G541),AND(D541=5,H541="Pagas prorrateadas"),1535.9*(F541*G541),AND(D541=5,H541="Pagas no prorrateadas"),1316.49*(F541*G541),AND(D541=7,H541="Pagas prorrateadas"),1493.61*(F541*G541),AND(D541=7,H541="Pagas no prorrateadas"),1280.24*(F541*G541)))</f>
        <v/>
      </c>
      <c r="K541" s="106" t="str">
        <f aca="false">IF(A541="","",IF(J541-I541&gt;=0,"OK",J541-I541))</f>
        <v/>
      </c>
    </row>
    <row r="542" customFormat="false" ht="14.25" hidden="false" customHeight="true" outlineLevel="0" collapsed="false">
      <c r="A542" s="106"/>
      <c r="B542" s="106"/>
      <c r="C542" s="107"/>
      <c r="D542" s="106"/>
      <c r="E542" s="106"/>
      <c r="F542" s="130" t="str">
        <f aca="false">IF(A542="","",MIN(E542/(37.5),1))</f>
        <v/>
      </c>
      <c r="G542" s="108"/>
      <c r="H542" s="106"/>
      <c r="I542" s="107"/>
      <c r="J542" s="131" t="str">
        <f aca="false" t="array" ref="J542:J542">IF(A542="","",ifs(AND(D542=1,H542="Pagas prorrateadas"),2705.41*(F542*G542),AND(D542=1,H542="Pagas no prorrateadas"),2318.93*(F542*G542),AND(D542=2,H542="Pagas prorrateadas"),2246.07*(F542*G542),AND(D542=2,H542="Pagas no prorrateadas"),1925.21*(F542*G542),AND(D542=3,H542="Pagas prorrateadas"),1775.44*(F542*G542),AND(D542=3,H542="Pagas no prorrateadas"),1521.81*(F542*G542),AND(D542=5,H542="Pagas prorrateadas"),1535.9*(F542*G542),AND(D542=5,H542="Pagas no prorrateadas"),1316.49*(F542*G542),AND(D542=7,H542="Pagas prorrateadas"),1493.61*(F542*G542),AND(D542=7,H542="Pagas no prorrateadas"),1280.24*(F542*G542)))</f>
        <v/>
      </c>
      <c r="K542" s="106" t="str">
        <f aca="false">IF(A542="","",IF(J542-I542&gt;=0,"OK",J542-I542))</f>
        <v/>
      </c>
    </row>
    <row r="543" customFormat="false" ht="14.25" hidden="false" customHeight="true" outlineLevel="0" collapsed="false">
      <c r="A543" s="106"/>
      <c r="B543" s="106"/>
      <c r="C543" s="107"/>
      <c r="D543" s="106"/>
      <c r="E543" s="106"/>
      <c r="F543" s="130" t="str">
        <f aca="false">IF(A543="","",MIN(E543/(37.5),1))</f>
        <v/>
      </c>
      <c r="G543" s="108"/>
      <c r="H543" s="106"/>
      <c r="I543" s="107"/>
      <c r="J543" s="131" t="str">
        <f aca="false" t="array" ref="J543:J543">IF(A543="","",ifs(AND(D543=1,H543="Pagas prorrateadas"),2705.41*(F543*G543),AND(D543=1,H543="Pagas no prorrateadas"),2318.93*(F543*G543),AND(D543=2,H543="Pagas prorrateadas"),2246.07*(F543*G543),AND(D543=2,H543="Pagas no prorrateadas"),1925.21*(F543*G543),AND(D543=3,H543="Pagas prorrateadas"),1775.44*(F543*G543),AND(D543=3,H543="Pagas no prorrateadas"),1521.81*(F543*G543),AND(D543=5,H543="Pagas prorrateadas"),1535.9*(F543*G543),AND(D543=5,H543="Pagas no prorrateadas"),1316.49*(F543*G543),AND(D543=7,H543="Pagas prorrateadas"),1493.61*(F543*G543),AND(D543=7,H543="Pagas no prorrateadas"),1280.24*(F543*G543)))</f>
        <v/>
      </c>
      <c r="K543" s="106" t="str">
        <f aca="false">IF(A543="","",IF(J543-I543&gt;=0,"OK",J543-I543))</f>
        <v/>
      </c>
    </row>
    <row r="544" customFormat="false" ht="14.25" hidden="false" customHeight="true" outlineLevel="0" collapsed="false">
      <c r="A544" s="106"/>
      <c r="B544" s="106"/>
      <c r="C544" s="107"/>
      <c r="D544" s="106"/>
      <c r="E544" s="106"/>
      <c r="F544" s="130" t="str">
        <f aca="false">IF(A544="","",MIN(E544/(37.5),1))</f>
        <v/>
      </c>
      <c r="G544" s="108"/>
      <c r="H544" s="106"/>
      <c r="I544" s="107"/>
      <c r="J544" s="131" t="str">
        <f aca="false" t="array" ref="J544:J544">IF(A544="","",ifs(AND(D544=1,H544="Pagas prorrateadas"),2705.41*(F544*G544),AND(D544=1,H544="Pagas no prorrateadas"),2318.93*(F544*G544),AND(D544=2,H544="Pagas prorrateadas"),2246.07*(F544*G544),AND(D544=2,H544="Pagas no prorrateadas"),1925.21*(F544*G544),AND(D544=3,H544="Pagas prorrateadas"),1775.44*(F544*G544),AND(D544=3,H544="Pagas no prorrateadas"),1521.81*(F544*G544),AND(D544=5,H544="Pagas prorrateadas"),1535.9*(F544*G544),AND(D544=5,H544="Pagas no prorrateadas"),1316.49*(F544*G544),AND(D544=7,H544="Pagas prorrateadas"),1493.61*(F544*G544),AND(D544=7,H544="Pagas no prorrateadas"),1280.24*(F544*G544)))</f>
        <v/>
      </c>
      <c r="K544" s="106" t="str">
        <f aca="false">IF(A544="","",IF(J544-I544&gt;=0,"OK",J544-I544))</f>
        <v/>
      </c>
    </row>
    <row r="545" customFormat="false" ht="14.25" hidden="false" customHeight="true" outlineLevel="0" collapsed="false">
      <c r="A545" s="106"/>
      <c r="B545" s="106"/>
      <c r="C545" s="107"/>
      <c r="D545" s="106"/>
      <c r="E545" s="106"/>
      <c r="F545" s="130" t="str">
        <f aca="false">IF(A545="","",MIN(E545/(37.5),1))</f>
        <v/>
      </c>
      <c r="G545" s="108"/>
      <c r="H545" s="106"/>
      <c r="I545" s="107"/>
      <c r="J545" s="131" t="str">
        <f aca="false" t="array" ref="J545:J545">IF(A545="","",ifs(AND(D545=1,H545="Pagas prorrateadas"),2705.41*(F545*G545),AND(D545=1,H545="Pagas no prorrateadas"),2318.93*(F545*G545),AND(D545=2,H545="Pagas prorrateadas"),2246.07*(F545*G545),AND(D545=2,H545="Pagas no prorrateadas"),1925.21*(F545*G545),AND(D545=3,H545="Pagas prorrateadas"),1775.44*(F545*G545),AND(D545=3,H545="Pagas no prorrateadas"),1521.81*(F545*G545),AND(D545=5,H545="Pagas prorrateadas"),1535.9*(F545*G545),AND(D545=5,H545="Pagas no prorrateadas"),1316.49*(F545*G545),AND(D545=7,H545="Pagas prorrateadas"),1493.61*(F545*G545),AND(D545=7,H545="Pagas no prorrateadas"),1280.24*(F545*G545)))</f>
        <v/>
      </c>
      <c r="K545" s="106" t="str">
        <f aca="false">IF(A545="","",IF(J545-I545&gt;=0,"OK",J545-I545))</f>
        <v/>
      </c>
    </row>
    <row r="546" customFormat="false" ht="14.25" hidden="false" customHeight="true" outlineLevel="0" collapsed="false">
      <c r="A546" s="106"/>
      <c r="B546" s="106"/>
      <c r="C546" s="107"/>
      <c r="D546" s="106"/>
      <c r="E546" s="106"/>
      <c r="F546" s="130" t="str">
        <f aca="false">IF(A546="","",MIN(E546/(37.5),1))</f>
        <v/>
      </c>
      <c r="G546" s="108"/>
      <c r="H546" s="106"/>
      <c r="I546" s="107"/>
      <c r="J546" s="131" t="str">
        <f aca="false" t="array" ref="J546:J546">IF(A546="","",ifs(AND(D546=1,H546="Pagas prorrateadas"),2705.41*(F546*G546),AND(D546=1,H546="Pagas no prorrateadas"),2318.93*(F546*G546),AND(D546=2,H546="Pagas prorrateadas"),2246.07*(F546*G546),AND(D546=2,H546="Pagas no prorrateadas"),1925.21*(F546*G546),AND(D546=3,H546="Pagas prorrateadas"),1775.44*(F546*G546),AND(D546=3,H546="Pagas no prorrateadas"),1521.81*(F546*G546),AND(D546=5,H546="Pagas prorrateadas"),1535.9*(F546*G546),AND(D546=5,H546="Pagas no prorrateadas"),1316.49*(F546*G546),AND(D546=7,H546="Pagas prorrateadas"),1493.61*(F546*G546),AND(D546=7,H546="Pagas no prorrateadas"),1280.24*(F546*G546)))</f>
        <v/>
      </c>
      <c r="K546" s="106" t="str">
        <f aca="false">IF(A546="","",IF(J546-I546&gt;=0,"OK",J546-I546))</f>
        <v/>
      </c>
    </row>
    <row r="547" customFormat="false" ht="14.25" hidden="false" customHeight="true" outlineLevel="0" collapsed="false">
      <c r="A547" s="106"/>
      <c r="B547" s="106"/>
      <c r="C547" s="107"/>
      <c r="D547" s="106"/>
      <c r="E547" s="106"/>
      <c r="F547" s="130" t="str">
        <f aca="false">IF(A547="","",MIN(E547/(37.5),1))</f>
        <v/>
      </c>
      <c r="G547" s="108"/>
      <c r="H547" s="106"/>
      <c r="I547" s="107"/>
      <c r="J547" s="131" t="str">
        <f aca="false" t="array" ref="J547:J547">IF(A547="","",ifs(AND(D547=1,H547="Pagas prorrateadas"),2705.41*(F547*G547),AND(D547=1,H547="Pagas no prorrateadas"),2318.93*(F547*G547),AND(D547=2,H547="Pagas prorrateadas"),2246.07*(F547*G547),AND(D547=2,H547="Pagas no prorrateadas"),1925.21*(F547*G547),AND(D547=3,H547="Pagas prorrateadas"),1775.44*(F547*G547),AND(D547=3,H547="Pagas no prorrateadas"),1521.81*(F547*G547),AND(D547=5,H547="Pagas prorrateadas"),1535.9*(F547*G547),AND(D547=5,H547="Pagas no prorrateadas"),1316.49*(F547*G547),AND(D547=7,H547="Pagas prorrateadas"),1493.61*(F547*G547),AND(D547=7,H547="Pagas no prorrateadas"),1280.24*(F547*G547)))</f>
        <v/>
      </c>
      <c r="K547" s="106" t="str">
        <f aca="false">IF(A547="","",IF(J547-I547&gt;=0,"OK",J547-I547))</f>
        <v/>
      </c>
    </row>
    <row r="548" customFormat="false" ht="14.25" hidden="false" customHeight="true" outlineLevel="0" collapsed="false">
      <c r="A548" s="106"/>
      <c r="B548" s="106"/>
      <c r="C548" s="107"/>
      <c r="D548" s="106"/>
      <c r="E548" s="106"/>
      <c r="F548" s="130" t="str">
        <f aca="false">IF(A548="","",MIN(E548/(37.5),1))</f>
        <v/>
      </c>
      <c r="G548" s="108"/>
      <c r="H548" s="106"/>
      <c r="I548" s="107"/>
      <c r="J548" s="131" t="str">
        <f aca="false" t="array" ref="J548:J548">IF(A548="","",ifs(AND(D548=1,H548="Pagas prorrateadas"),2705.41*(F548*G548),AND(D548=1,H548="Pagas no prorrateadas"),2318.93*(F548*G548),AND(D548=2,H548="Pagas prorrateadas"),2246.07*(F548*G548),AND(D548=2,H548="Pagas no prorrateadas"),1925.21*(F548*G548),AND(D548=3,H548="Pagas prorrateadas"),1775.44*(F548*G548),AND(D548=3,H548="Pagas no prorrateadas"),1521.81*(F548*G548),AND(D548=5,H548="Pagas prorrateadas"),1535.9*(F548*G548),AND(D548=5,H548="Pagas no prorrateadas"),1316.49*(F548*G548),AND(D548=7,H548="Pagas prorrateadas"),1493.61*(F548*G548),AND(D548=7,H548="Pagas no prorrateadas"),1280.24*(F548*G548)))</f>
        <v/>
      </c>
      <c r="K548" s="106" t="str">
        <f aca="false">IF(A548="","",IF(J548-I548&gt;=0,"OK",J548-I548))</f>
        <v/>
      </c>
    </row>
    <row r="549" customFormat="false" ht="14.25" hidden="false" customHeight="true" outlineLevel="0" collapsed="false">
      <c r="A549" s="106"/>
      <c r="B549" s="106"/>
      <c r="C549" s="107"/>
      <c r="D549" s="106"/>
      <c r="E549" s="106"/>
      <c r="F549" s="130" t="str">
        <f aca="false">IF(A549="","",MIN(E549/(37.5),1))</f>
        <v/>
      </c>
      <c r="G549" s="108"/>
      <c r="H549" s="106"/>
      <c r="I549" s="107"/>
      <c r="J549" s="131" t="str">
        <f aca="false" t="array" ref="J549:J549">IF(A549="","",ifs(AND(D549=1,H549="Pagas prorrateadas"),2705.41*(F549*G549),AND(D549=1,H549="Pagas no prorrateadas"),2318.93*(F549*G549),AND(D549=2,H549="Pagas prorrateadas"),2246.07*(F549*G549),AND(D549=2,H549="Pagas no prorrateadas"),1925.21*(F549*G549),AND(D549=3,H549="Pagas prorrateadas"),1775.44*(F549*G549),AND(D549=3,H549="Pagas no prorrateadas"),1521.81*(F549*G549),AND(D549=5,H549="Pagas prorrateadas"),1535.9*(F549*G549),AND(D549=5,H549="Pagas no prorrateadas"),1316.49*(F549*G549),AND(D549=7,H549="Pagas prorrateadas"),1493.61*(F549*G549),AND(D549=7,H549="Pagas no prorrateadas"),1280.24*(F549*G549)))</f>
        <v/>
      </c>
      <c r="K549" s="106" t="str">
        <f aca="false">IF(A549="","",IF(J549-I549&gt;=0,"OK",J549-I549))</f>
        <v/>
      </c>
    </row>
    <row r="550" customFormat="false" ht="14.25" hidden="false" customHeight="true" outlineLevel="0" collapsed="false">
      <c r="A550" s="106"/>
      <c r="B550" s="106"/>
      <c r="C550" s="107"/>
      <c r="D550" s="106"/>
      <c r="E550" s="106"/>
      <c r="F550" s="130" t="str">
        <f aca="false">IF(A550="","",MIN(E550/(37.5),1))</f>
        <v/>
      </c>
      <c r="G550" s="108"/>
      <c r="H550" s="106"/>
      <c r="I550" s="107"/>
      <c r="J550" s="131" t="str">
        <f aca="false" t="array" ref="J550:J550">IF(A550="","",ifs(AND(D550=1,H550="Pagas prorrateadas"),2705.41*(F550*G550),AND(D550=1,H550="Pagas no prorrateadas"),2318.93*(F550*G550),AND(D550=2,H550="Pagas prorrateadas"),2246.07*(F550*G550),AND(D550=2,H550="Pagas no prorrateadas"),1925.21*(F550*G550),AND(D550=3,H550="Pagas prorrateadas"),1775.44*(F550*G550),AND(D550=3,H550="Pagas no prorrateadas"),1521.81*(F550*G550),AND(D550=5,H550="Pagas prorrateadas"),1535.9*(F550*G550),AND(D550=5,H550="Pagas no prorrateadas"),1316.49*(F550*G550),AND(D550=7,H550="Pagas prorrateadas"),1493.61*(F550*G550),AND(D550=7,H550="Pagas no prorrateadas"),1280.24*(F550*G550)))</f>
        <v/>
      </c>
      <c r="K550" s="106" t="str">
        <f aca="false">IF(A550="","",IF(J550-I550&gt;=0,"OK",J550-I550))</f>
        <v/>
      </c>
    </row>
    <row r="551" customFormat="false" ht="14.25" hidden="false" customHeight="true" outlineLevel="0" collapsed="false">
      <c r="A551" s="106"/>
      <c r="B551" s="106"/>
      <c r="C551" s="107"/>
      <c r="D551" s="106"/>
      <c r="E551" s="106"/>
      <c r="F551" s="130" t="str">
        <f aca="false">IF(A551="","",MIN(E551/(37.5),1))</f>
        <v/>
      </c>
      <c r="G551" s="108"/>
      <c r="H551" s="106"/>
      <c r="I551" s="107"/>
      <c r="J551" s="131" t="str">
        <f aca="false" t="array" ref="J551:J551">IF(A551="","",ifs(AND(D551=1,H551="Pagas prorrateadas"),2705.41*(F551*G551),AND(D551=1,H551="Pagas no prorrateadas"),2318.93*(F551*G551),AND(D551=2,H551="Pagas prorrateadas"),2246.07*(F551*G551),AND(D551=2,H551="Pagas no prorrateadas"),1925.21*(F551*G551),AND(D551=3,H551="Pagas prorrateadas"),1775.44*(F551*G551),AND(D551=3,H551="Pagas no prorrateadas"),1521.81*(F551*G551),AND(D551=5,H551="Pagas prorrateadas"),1535.9*(F551*G551),AND(D551=5,H551="Pagas no prorrateadas"),1316.49*(F551*G551),AND(D551=7,H551="Pagas prorrateadas"),1493.61*(F551*G551),AND(D551=7,H551="Pagas no prorrateadas"),1280.24*(F551*G551)))</f>
        <v/>
      </c>
      <c r="K551" s="106" t="str">
        <f aca="false">IF(A551="","",IF(J551-I551&gt;=0,"OK",J551-I551))</f>
        <v/>
      </c>
    </row>
    <row r="552" customFormat="false" ht="14.25" hidden="false" customHeight="true" outlineLevel="0" collapsed="false">
      <c r="A552" s="106"/>
      <c r="B552" s="106"/>
      <c r="C552" s="107"/>
      <c r="D552" s="106"/>
      <c r="E552" s="106"/>
      <c r="F552" s="130" t="str">
        <f aca="false">IF(A552="","",MIN(E552/(37.5),1))</f>
        <v/>
      </c>
      <c r="G552" s="108"/>
      <c r="H552" s="106"/>
      <c r="I552" s="107"/>
      <c r="J552" s="131" t="str">
        <f aca="false" t="array" ref="J552:J552">IF(A552="","",ifs(AND(D552=1,H552="Pagas prorrateadas"),2705.41*(F552*G552),AND(D552=1,H552="Pagas no prorrateadas"),2318.93*(F552*G552),AND(D552=2,H552="Pagas prorrateadas"),2246.07*(F552*G552),AND(D552=2,H552="Pagas no prorrateadas"),1925.21*(F552*G552),AND(D552=3,H552="Pagas prorrateadas"),1775.44*(F552*G552),AND(D552=3,H552="Pagas no prorrateadas"),1521.81*(F552*G552),AND(D552=5,H552="Pagas prorrateadas"),1535.9*(F552*G552),AND(D552=5,H552="Pagas no prorrateadas"),1316.49*(F552*G552),AND(D552=7,H552="Pagas prorrateadas"),1493.61*(F552*G552),AND(D552=7,H552="Pagas no prorrateadas"),1280.24*(F552*G552)))</f>
        <v/>
      </c>
      <c r="K552" s="106" t="str">
        <f aca="false">IF(A552="","",IF(J552-I552&gt;=0,"OK",J552-I552))</f>
        <v/>
      </c>
    </row>
    <row r="553" customFormat="false" ht="14.25" hidden="false" customHeight="true" outlineLevel="0" collapsed="false">
      <c r="A553" s="106"/>
      <c r="B553" s="106"/>
      <c r="C553" s="107"/>
      <c r="D553" s="106"/>
      <c r="E553" s="106"/>
      <c r="F553" s="130" t="str">
        <f aca="false">IF(A553="","",MIN(E553/(37.5),1))</f>
        <v/>
      </c>
      <c r="G553" s="108"/>
      <c r="H553" s="106"/>
      <c r="I553" s="107"/>
      <c r="J553" s="131" t="str">
        <f aca="false" t="array" ref="J553:J553">IF(A553="","",ifs(AND(D553=1,H553="Pagas prorrateadas"),2705.41*(F553*G553),AND(D553=1,H553="Pagas no prorrateadas"),2318.93*(F553*G553),AND(D553=2,H553="Pagas prorrateadas"),2246.07*(F553*G553),AND(D553=2,H553="Pagas no prorrateadas"),1925.21*(F553*G553),AND(D553=3,H553="Pagas prorrateadas"),1775.44*(F553*G553),AND(D553=3,H553="Pagas no prorrateadas"),1521.81*(F553*G553),AND(D553=5,H553="Pagas prorrateadas"),1535.9*(F553*G553),AND(D553=5,H553="Pagas no prorrateadas"),1316.49*(F553*G553),AND(D553=7,H553="Pagas prorrateadas"),1493.61*(F553*G553),AND(D553=7,H553="Pagas no prorrateadas"),1280.24*(F553*G553)))</f>
        <v/>
      </c>
      <c r="K553" s="106" t="str">
        <f aca="false">IF(A553="","",IF(J553-I553&gt;=0,"OK",J553-I553))</f>
        <v/>
      </c>
    </row>
    <row r="554" customFormat="false" ht="14.25" hidden="false" customHeight="true" outlineLevel="0" collapsed="false">
      <c r="A554" s="106"/>
      <c r="B554" s="106"/>
      <c r="C554" s="107"/>
      <c r="D554" s="106"/>
      <c r="E554" s="106"/>
      <c r="F554" s="130" t="str">
        <f aca="false">IF(A554="","",MIN(E554/(37.5),1))</f>
        <v/>
      </c>
      <c r="G554" s="108"/>
      <c r="H554" s="106"/>
      <c r="I554" s="107"/>
      <c r="J554" s="131" t="str">
        <f aca="false" t="array" ref="J554:J554">IF(A554="","",ifs(AND(D554=1,H554="Pagas prorrateadas"),2705.41*(F554*G554),AND(D554=1,H554="Pagas no prorrateadas"),2318.93*(F554*G554),AND(D554=2,H554="Pagas prorrateadas"),2246.07*(F554*G554),AND(D554=2,H554="Pagas no prorrateadas"),1925.21*(F554*G554),AND(D554=3,H554="Pagas prorrateadas"),1775.44*(F554*G554),AND(D554=3,H554="Pagas no prorrateadas"),1521.81*(F554*G554),AND(D554=5,H554="Pagas prorrateadas"),1535.9*(F554*G554),AND(D554=5,H554="Pagas no prorrateadas"),1316.49*(F554*G554),AND(D554=7,H554="Pagas prorrateadas"),1493.61*(F554*G554),AND(D554=7,H554="Pagas no prorrateadas"),1280.24*(F554*G554)))</f>
        <v/>
      </c>
      <c r="K554" s="106" t="str">
        <f aca="false">IF(A554="","",IF(J554-I554&gt;=0,"OK",J554-I554))</f>
        <v/>
      </c>
    </row>
    <row r="555" customFormat="false" ht="14.25" hidden="false" customHeight="true" outlineLevel="0" collapsed="false">
      <c r="A555" s="106"/>
      <c r="B555" s="106"/>
      <c r="C555" s="107"/>
      <c r="D555" s="106"/>
      <c r="E555" s="106"/>
      <c r="F555" s="130" t="str">
        <f aca="false">IF(A555="","",MIN(E555/(37.5),1))</f>
        <v/>
      </c>
      <c r="G555" s="108"/>
      <c r="H555" s="106"/>
      <c r="I555" s="107"/>
      <c r="J555" s="131" t="str">
        <f aca="false" t="array" ref="J555:J555">IF(A555="","",ifs(AND(D555=1,H555="Pagas prorrateadas"),2705.41*(F555*G555),AND(D555=1,H555="Pagas no prorrateadas"),2318.93*(F555*G555),AND(D555=2,H555="Pagas prorrateadas"),2246.07*(F555*G555),AND(D555=2,H555="Pagas no prorrateadas"),1925.21*(F555*G555),AND(D555=3,H555="Pagas prorrateadas"),1775.44*(F555*G555),AND(D555=3,H555="Pagas no prorrateadas"),1521.81*(F555*G555),AND(D555=5,H555="Pagas prorrateadas"),1535.9*(F555*G555),AND(D555=5,H555="Pagas no prorrateadas"),1316.49*(F555*G555),AND(D555=7,H555="Pagas prorrateadas"),1493.61*(F555*G555),AND(D555=7,H555="Pagas no prorrateadas"),1280.24*(F555*G555)))</f>
        <v/>
      </c>
      <c r="K555" s="106" t="str">
        <f aca="false">IF(A555="","",IF(J555-I555&gt;=0,"OK",J555-I555))</f>
        <v/>
      </c>
    </row>
    <row r="556" customFormat="false" ht="14.25" hidden="false" customHeight="true" outlineLevel="0" collapsed="false">
      <c r="A556" s="106"/>
      <c r="B556" s="106"/>
      <c r="C556" s="107"/>
      <c r="D556" s="106"/>
      <c r="E556" s="106"/>
      <c r="F556" s="130" t="str">
        <f aca="false">IF(A556="","",MIN(E556/(37.5),1))</f>
        <v/>
      </c>
      <c r="G556" s="108"/>
      <c r="H556" s="106"/>
      <c r="I556" s="107"/>
      <c r="J556" s="131" t="str">
        <f aca="false" t="array" ref="J556:J556">IF(A556="","",ifs(AND(D556=1,H556="Pagas prorrateadas"),2705.41*(F556*G556),AND(D556=1,H556="Pagas no prorrateadas"),2318.93*(F556*G556),AND(D556=2,H556="Pagas prorrateadas"),2246.07*(F556*G556),AND(D556=2,H556="Pagas no prorrateadas"),1925.21*(F556*G556),AND(D556=3,H556="Pagas prorrateadas"),1775.44*(F556*G556),AND(D556=3,H556="Pagas no prorrateadas"),1521.81*(F556*G556),AND(D556=5,H556="Pagas prorrateadas"),1535.9*(F556*G556),AND(D556=5,H556="Pagas no prorrateadas"),1316.49*(F556*G556),AND(D556=7,H556="Pagas prorrateadas"),1493.61*(F556*G556),AND(D556=7,H556="Pagas no prorrateadas"),1280.24*(F556*G556)))</f>
        <v/>
      </c>
      <c r="K556" s="106" t="str">
        <f aca="false">IF(A556="","",IF(J556-I556&gt;=0,"OK",J556-I556))</f>
        <v/>
      </c>
    </row>
    <row r="557" customFormat="false" ht="14.25" hidden="false" customHeight="true" outlineLevel="0" collapsed="false">
      <c r="A557" s="106"/>
      <c r="B557" s="106"/>
      <c r="C557" s="107"/>
      <c r="D557" s="106"/>
      <c r="E557" s="106"/>
      <c r="F557" s="130" t="str">
        <f aca="false">IF(A557="","",MIN(E557/(37.5),1))</f>
        <v/>
      </c>
      <c r="G557" s="108"/>
      <c r="H557" s="106"/>
      <c r="I557" s="107"/>
      <c r="J557" s="131" t="str">
        <f aca="false" t="array" ref="J557:J557">IF(A557="","",ifs(AND(D557=1,H557="Pagas prorrateadas"),2705.41*(F557*G557),AND(D557=1,H557="Pagas no prorrateadas"),2318.93*(F557*G557),AND(D557=2,H557="Pagas prorrateadas"),2246.07*(F557*G557),AND(D557=2,H557="Pagas no prorrateadas"),1925.21*(F557*G557),AND(D557=3,H557="Pagas prorrateadas"),1775.44*(F557*G557),AND(D557=3,H557="Pagas no prorrateadas"),1521.81*(F557*G557),AND(D557=5,H557="Pagas prorrateadas"),1535.9*(F557*G557),AND(D557=5,H557="Pagas no prorrateadas"),1316.49*(F557*G557),AND(D557=7,H557="Pagas prorrateadas"),1493.61*(F557*G557),AND(D557=7,H557="Pagas no prorrateadas"),1280.24*(F557*G557)))</f>
        <v/>
      </c>
      <c r="K557" s="106" t="str">
        <f aca="false">IF(A557="","",IF(J557-I557&gt;=0,"OK",J557-I557))</f>
        <v/>
      </c>
    </row>
    <row r="558" customFormat="false" ht="14.25" hidden="false" customHeight="true" outlineLevel="0" collapsed="false">
      <c r="A558" s="106"/>
      <c r="B558" s="106"/>
      <c r="C558" s="107"/>
      <c r="D558" s="106"/>
      <c r="E558" s="106"/>
      <c r="F558" s="130" t="str">
        <f aca="false">IF(A558="","",MIN(E558/(37.5),1))</f>
        <v/>
      </c>
      <c r="G558" s="108"/>
      <c r="H558" s="106"/>
      <c r="I558" s="107"/>
      <c r="J558" s="131" t="str">
        <f aca="false" t="array" ref="J558:J558">IF(A558="","",ifs(AND(D558=1,H558="Pagas prorrateadas"),2705.41*(F558*G558),AND(D558=1,H558="Pagas no prorrateadas"),2318.93*(F558*G558),AND(D558=2,H558="Pagas prorrateadas"),2246.07*(F558*G558),AND(D558=2,H558="Pagas no prorrateadas"),1925.21*(F558*G558),AND(D558=3,H558="Pagas prorrateadas"),1775.44*(F558*G558),AND(D558=3,H558="Pagas no prorrateadas"),1521.81*(F558*G558),AND(D558=5,H558="Pagas prorrateadas"),1535.9*(F558*G558),AND(D558=5,H558="Pagas no prorrateadas"),1316.49*(F558*G558),AND(D558=7,H558="Pagas prorrateadas"),1493.61*(F558*G558),AND(D558=7,H558="Pagas no prorrateadas"),1280.24*(F558*G558)))</f>
        <v/>
      </c>
      <c r="K558" s="106" t="str">
        <f aca="false">IF(A558="","",IF(J558-I558&gt;=0,"OK",J558-I558))</f>
        <v/>
      </c>
    </row>
    <row r="559" customFormat="false" ht="14.25" hidden="false" customHeight="true" outlineLevel="0" collapsed="false">
      <c r="A559" s="106"/>
      <c r="B559" s="106"/>
      <c r="C559" s="107"/>
      <c r="D559" s="106"/>
      <c r="E559" s="106"/>
      <c r="F559" s="130" t="str">
        <f aca="false">IF(A559="","",MIN(E559/(37.5),1))</f>
        <v/>
      </c>
      <c r="G559" s="108"/>
      <c r="H559" s="106"/>
      <c r="I559" s="107"/>
      <c r="J559" s="131" t="str">
        <f aca="false" t="array" ref="J559:J559">IF(A559="","",ifs(AND(D559=1,H559="Pagas prorrateadas"),2705.41*(F559*G559),AND(D559=1,H559="Pagas no prorrateadas"),2318.93*(F559*G559),AND(D559=2,H559="Pagas prorrateadas"),2246.07*(F559*G559),AND(D559=2,H559="Pagas no prorrateadas"),1925.21*(F559*G559),AND(D559=3,H559="Pagas prorrateadas"),1775.44*(F559*G559),AND(D559=3,H559="Pagas no prorrateadas"),1521.81*(F559*G559),AND(D559=5,H559="Pagas prorrateadas"),1535.9*(F559*G559),AND(D559=5,H559="Pagas no prorrateadas"),1316.49*(F559*G559),AND(D559=7,H559="Pagas prorrateadas"),1493.61*(F559*G559),AND(D559=7,H559="Pagas no prorrateadas"),1280.24*(F559*G559)))</f>
        <v/>
      </c>
      <c r="K559" s="106" t="str">
        <f aca="false">IF(A559="","",IF(J559-I559&gt;=0,"OK",J559-I559))</f>
        <v/>
      </c>
    </row>
    <row r="560" customFormat="false" ht="14.25" hidden="false" customHeight="true" outlineLevel="0" collapsed="false">
      <c r="A560" s="106"/>
      <c r="B560" s="106"/>
      <c r="C560" s="107"/>
      <c r="D560" s="106"/>
      <c r="E560" s="106"/>
      <c r="F560" s="130" t="str">
        <f aca="false">IF(A560="","",MIN(E560/(37.5),1))</f>
        <v/>
      </c>
      <c r="G560" s="108"/>
      <c r="H560" s="106"/>
      <c r="I560" s="107"/>
      <c r="J560" s="131" t="str">
        <f aca="false" t="array" ref="J560:J560">IF(A560="","",ifs(AND(D560=1,H560="Pagas prorrateadas"),2705.41*(F560*G560),AND(D560=1,H560="Pagas no prorrateadas"),2318.93*(F560*G560),AND(D560=2,H560="Pagas prorrateadas"),2246.07*(F560*G560),AND(D560=2,H560="Pagas no prorrateadas"),1925.21*(F560*G560),AND(D560=3,H560="Pagas prorrateadas"),1775.44*(F560*G560),AND(D560=3,H560="Pagas no prorrateadas"),1521.81*(F560*G560),AND(D560=5,H560="Pagas prorrateadas"),1535.9*(F560*G560),AND(D560=5,H560="Pagas no prorrateadas"),1316.49*(F560*G560),AND(D560=7,H560="Pagas prorrateadas"),1493.61*(F560*G560),AND(D560=7,H560="Pagas no prorrateadas"),1280.24*(F560*G560)))</f>
        <v/>
      </c>
      <c r="K560" s="106" t="str">
        <f aca="false">IF(A560="","",IF(J560-I560&gt;=0,"OK",J560-I560))</f>
        <v/>
      </c>
    </row>
    <row r="561" customFormat="false" ht="14.25" hidden="false" customHeight="true" outlineLevel="0" collapsed="false">
      <c r="A561" s="106"/>
      <c r="B561" s="106"/>
      <c r="C561" s="107"/>
      <c r="D561" s="106"/>
      <c r="E561" s="106"/>
      <c r="F561" s="130" t="str">
        <f aca="false">IF(A561="","",MIN(E561/(37.5),1))</f>
        <v/>
      </c>
      <c r="G561" s="108"/>
      <c r="H561" s="106"/>
      <c r="I561" s="107"/>
      <c r="J561" s="131" t="str">
        <f aca="false" t="array" ref="J561:J561">IF(A561="","",ifs(AND(D561=1,H561="Pagas prorrateadas"),2705.41*(F561*G561),AND(D561=1,H561="Pagas no prorrateadas"),2318.93*(F561*G561),AND(D561=2,H561="Pagas prorrateadas"),2246.07*(F561*G561),AND(D561=2,H561="Pagas no prorrateadas"),1925.21*(F561*G561),AND(D561=3,H561="Pagas prorrateadas"),1775.44*(F561*G561),AND(D561=3,H561="Pagas no prorrateadas"),1521.81*(F561*G561),AND(D561=5,H561="Pagas prorrateadas"),1535.9*(F561*G561),AND(D561=5,H561="Pagas no prorrateadas"),1316.49*(F561*G561),AND(D561=7,H561="Pagas prorrateadas"),1493.61*(F561*G561),AND(D561=7,H561="Pagas no prorrateadas"),1280.24*(F561*G561)))</f>
        <v/>
      </c>
      <c r="K561" s="106" t="str">
        <f aca="false">IF(A561="","",IF(J561-I561&gt;=0,"OK",J561-I561))</f>
        <v/>
      </c>
    </row>
    <row r="562" customFormat="false" ht="14.25" hidden="false" customHeight="true" outlineLevel="0" collapsed="false">
      <c r="A562" s="106"/>
      <c r="B562" s="106"/>
      <c r="C562" s="107"/>
      <c r="D562" s="106"/>
      <c r="E562" s="106"/>
      <c r="F562" s="130" t="str">
        <f aca="false">IF(A562="","",MIN(E562/(37.5),1))</f>
        <v/>
      </c>
      <c r="G562" s="108"/>
      <c r="H562" s="106"/>
      <c r="I562" s="107"/>
      <c r="J562" s="131" t="str">
        <f aca="false" t="array" ref="J562:J562">IF(A562="","",ifs(AND(D562=1,H562="Pagas prorrateadas"),2705.41*(F562*G562),AND(D562=1,H562="Pagas no prorrateadas"),2318.93*(F562*G562),AND(D562=2,H562="Pagas prorrateadas"),2246.07*(F562*G562),AND(D562=2,H562="Pagas no prorrateadas"),1925.21*(F562*G562),AND(D562=3,H562="Pagas prorrateadas"),1775.44*(F562*G562),AND(D562=3,H562="Pagas no prorrateadas"),1521.81*(F562*G562),AND(D562=5,H562="Pagas prorrateadas"),1535.9*(F562*G562),AND(D562=5,H562="Pagas no prorrateadas"),1316.49*(F562*G562),AND(D562=7,H562="Pagas prorrateadas"),1493.61*(F562*G562),AND(D562=7,H562="Pagas no prorrateadas"),1280.24*(F562*G562)))</f>
        <v/>
      </c>
      <c r="K562" s="106" t="str">
        <f aca="false">IF(A562="","",IF(J562-I562&gt;=0,"OK",J562-I562))</f>
        <v/>
      </c>
    </row>
    <row r="563" customFormat="false" ht="14.25" hidden="false" customHeight="true" outlineLevel="0" collapsed="false">
      <c r="A563" s="106"/>
      <c r="B563" s="106"/>
      <c r="C563" s="107"/>
      <c r="D563" s="106"/>
      <c r="E563" s="106"/>
      <c r="F563" s="130" t="str">
        <f aca="false">IF(A563="","",MIN(E563/(37.5),1))</f>
        <v/>
      </c>
      <c r="G563" s="108"/>
      <c r="H563" s="106"/>
      <c r="I563" s="107"/>
      <c r="J563" s="131" t="str">
        <f aca="false" t="array" ref="J563:J563">IF(A563="","",ifs(AND(D563=1,H563="Pagas prorrateadas"),2705.41*(F563*G563),AND(D563=1,H563="Pagas no prorrateadas"),2318.93*(F563*G563),AND(D563=2,H563="Pagas prorrateadas"),2246.07*(F563*G563),AND(D563=2,H563="Pagas no prorrateadas"),1925.21*(F563*G563),AND(D563=3,H563="Pagas prorrateadas"),1775.44*(F563*G563),AND(D563=3,H563="Pagas no prorrateadas"),1521.81*(F563*G563),AND(D563=5,H563="Pagas prorrateadas"),1535.9*(F563*G563),AND(D563=5,H563="Pagas no prorrateadas"),1316.49*(F563*G563),AND(D563=7,H563="Pagas prorrateadas"),1493.61*(F563*G563),AND(D563=7,H563="Pagas no prorrateadas"),1280.24*(F563*G563)))</f>
        <v/>
      </c>
      <c r="K563" s="106" t="str">
        <f aca="false">IF(A563="","",IF(J563-I563&gt;=0,"OK",J563-I563))</f>
        <v/>
      </c>
    </row>
    <row r="564" customFormat="false" ht="14.25" hidden="false" customHeight="true" outlineLevel="0" collapsed="false">
      <c r="A564" s="106"/>
      <c r="B564" s="106"/>
      <c r="C564" s="107"/>
      <c r="D564" s="106"/>
      <c r="E564" s="106"/>
      <c r="F564" s="130" t="str">
        <f aca="false">IF(A564="","",MIN(E564/(37.5),1))</f>
        <v/>
      </c>
      <c r="G564" s="108"/>
      <c r="H564" s="106"/>
      <c r="I564" s="107"/>
      <c r="J564" s="131" t="str">
        <f aca="false" t="array" ref="J564:J564">IF(A564="","",ifs(AND(D564=1,H564="Pagas prorrateadas"),2705.41*(F564*G564),AND(D564=1,H564="Pagas no prorrateadas"),2318.93*(F564*G564),AND(D564=2,H564="Pagas prorrateadas"),2246.07*(F564*G564),AND(D564=2,H564="Pagas no prorrateadas"),1925.21*(F564*G564),AND(D564=3,H564="Pagas prorrateadas"),1775.44*(F564*G564),AND(D564=3,H564="Pagas no prorrateadas"),1521.81*(F564*G564),AND(D564=5,H564="Pagas prorrateadas"),1535.9*(F564*G564),AND(D564=5,H564="Pagas no prorrateadas"),1316.49*(F564*G564),AND(D564=7,H564="Pagas prorrateadas"),1493.61*(F564*G564),AND(D564=7,H564="Pagas no prorrateadas"),1280.24*(F564*G564)))</f>
        <v/>
      </c>
      <c r="K564" s="106" t="str">
        <f aca="false">IF(A564="","",IF(J564-I564&gt;=0,"OK",J564-I564))</f>
        <v/>
      </c>
    </row>
    <row r="565" customFormat="false" ht="14.25" hidden="false" customHeight="true" outlineLevel="0" collapsed="false">
      <c r="A565" s="106"/>
      <c r="B565" s="106"/>
      <c r="C565" s="107"/>
      <c r="D565" s="106"/>
      <c r="E565" s="106"/>
      <c r="F565" s="130" t="str">
        <f aca="false">IF(A565="","",MIN(E565/(37.5),1))</f>
        <v/>
      </c>
      <c r="G565" s="108"/>
      <c r="H565" s="106"/>
      <c r="I565" s="107"/>
      <c r="J565" s="131" t="str">
        <f aca="false" t="array" ref="J565:J565">IF(A565="","",ifs(AND(D565=1,H565="Pagas prorrateadas"),2705.41*(F565*G565),AND(D565=1,H565="Pagas no prorrateadas"),2318.93*(F565*G565),AND(D565=2,H565="Pagas prorrateadas"),2246.07*(F565*G565),AND(D565=2,H565="Pagas no prorrateadas"),1925.21*(F565*G565),AND(D565=3,H565="Pagas prorrateadas"),1775.44*(F565*G565),AND(D565=3,H565="Pagas no prorrateadas"),1521.81*(F565*G565),AND(D565=5,H565="Pagas prorrateadas"),1535.9*(F565*G565),AND(D565=5,H565="Pagas no prorrateadas"),1316.49*(F565*G565),AND(D565=7,H565="Pagas prorrateadas"),1493.61*(F565*G565),AND(D565=7,H565="Pagas no prorrateadas"),1280.24*(F565*G565)))</f>
        <v/>
      </c>
      <c r="K565" s="106" t="str">
        <f aca="false">IF(A565="","",IF(J565-I565&gt;=0,"OK",J565-I565))</f>
        <v/>
      </c>
    </row>
    <row r="566" customFormat="false" ht="14.25" hidden="false" customHeight="true" outlineLevel="0" collapsed="false">
      <c r="A566" s="106"/>
      <c r="B566" s="106"/>
      <c r="C566" s="107"/>
      <c r="D566" s="106"/>
      <c r="E566" s="106"/>
      <c r="F566" s="130" t="str">
        <f aca="false">IF(A566="","",MIN(E566/(37.5),1))</f>
        <v/>
      </c>
      <c r="G566" s="108"/>
      <c r="H566" s="106"/>
      <c r="I566" s="107"/>
      <c r="J566" s="131" t="str">
        <f aca="false" t="array" ref="J566:J566">IF(A566="","",ifs(AND(D566=1,H566="Pagas prorrateadas"),2705.41*(F566*G566),AND(D566=1,H566="Pagas no prorrateadas"),2318.93*(F566*G566),AND(D566=2,H566="Pagas prorrateadas"),2246.07*(F566*G566),AND(D566=2,H566="Pagas no prorrateadas"),1925.21*(F566*G566),AND(D566=3,H566="Pagas prorrateadas"),1775.44*(F566*G566),AND(D566=3,H566="Pagas no prorrateadas"),1521.81*(F566*G566),AND(D566=5,H566="Pagas prorrateadas"),1535.9*(F566*G566),AND(D566=5,H566="Pagas no prorrateadas"),1316.49*(F566*G566),AND(D566=7,H566="Pagas prorrateadas"),1493.61*(F566*G566),AND(D566=7,H566="Pagas no prorrateadas"),1280.24*(F566*G566)))</f>
        <v/>
      </c>
      <c r="K566" s="106" t="str">
        <f aca="false">IF(A566="","",IF(J566-I566&gt;=0,"OK",J566-I566))</f>
        <v/>
      </c>
    </row>
    <row r="567" customFormat="false" ht="14.25" hidden="false" customHeight="true" outlineLevel="0" collapsed="false">
      <c r="A567" s="106"/>
      <c r="B567" s="106"/>
      <c r="C567" s="107"/>
      <c r="D567" s="106"/>
      <c r="E567" s="106"/>
      <c r="F567" s="130" t="str">
        <f aca="false">IF(A567="","",MIN(E567/(37.5),1))</f>
        <v/>
      </c>
      <c r="G567" s="108"/>
      <c r="H567" s="106"/>
      <c r="I567" s="107"/>
      <c r="J567" s="131" t="str">
        <f aca="false" t="array" ref="J567:J567">IF(A567="","",ifs(AND(D567=1,H567="Pagas prorrateadas"),2705.41*(F567*G567),AND(D567=1,H567="Pagas no prorrateadas"),2318.93*(F567*G567),AND(D567=2,H567="Pagas prorrateadas"),2246.07*(F567*G567),AND(D567=2,H567="Pagas no prorrateadas"),1925.21*(F567*G567),AND(D567=3,H567="Pagas prorrateadas"),1775.44*(F567*G567),AND(D567=3,H567="Pagas no prorrateadas"),1521.81*(F567*G567),AND(D567=5,H567="Pagas prorrateadas"),1535.9*(F567*G567),AND(D567=5,H567="Pagas no prorrateadas"),1316.49*(F567*G567),AND(D567=7,H567="Pagas prorrateadas"),1493.61*(F567*G567),AND(D567=7,H567="Pagas no prorrateadas"),1280.24*(F567*G567)))</f>
        <v/>
      </c>
      <c r="K567" s="106" t="str">
        <f aca="false">IF(A567="","",IF(J567-I567&gt;=0,"OK",J567-I567))</f>
        <v/>
      </c>
    </row>
    <row r="568" customFormat="false" ht="14.25" hidden="false" customHeight="true" outlineLevel="0" collapsed="false">
      <c r="A568" s="106"/>
      <c r="B568" s="106"/>
      <c r="C568" s="107"/>
      <c r="D568" s="106"/>
      <c r="E568" s="106"/>
      <c r="F568" s="130" t="str">
        <f aca="false">IF(A568="","",MIN(E568/(37.5),1))</f>
        <v/>
      </c>
      <c r="G568" s="108"/>
      <c r="H568" s="106"/>
      <c r="I568" s="107"/>
      <c r="J568" s="131" t="str">
        <f aca="false" t="array" ref="J568:J568">IF(A568="","",ifs(AND(D568=1,H568="Pagas prorrateadas"),2705.41*(F568*G568),AND(D568=1,H568="Pagas no prorrateadas"),2318.93*(F568*G568),AND(D568=2,H568="Pagas prorrateadas"),2246.07*(F568*G568),AND(D568=2,H568="Pagas no prorrateadas"),1925.21*(F568*G568),AND(D568=3,H568="Pagas prorrateadas"),1775.44*(F568*G568),AND(D568=3,H568="Pagas no prorrateadas"),1521.81*(F568*G568),AND(D568=5,H568="Pagas prorrateadas"),1535.9*(F568*G568),AND(D568=5,H568="Pagas no prorrateadas"),1316.49*(F568*G568),AND(D568=7,H568="Pagas prorrateadas"),1493.61*(F568*G568),AND(D568=7,H568="Pagas no prorrateadas"),1280.24*(F568*G568)))</f>
        <v/>
      </c>
      <c r="K568" s="106" t="str">
        <f aca="false">IF(A568="","",IF(J568-I568&gt;=0,"OK",J568-I568))</f>
        <v/>
      </c>
    </row>
    <row r="569" customFormat="false" ht="14.25" hidden="false" customHeight="true" outlineLevel="0" collapsed="false">
      <c r="A569" s="106"/>
      <c r="B569" s="106"/>
      <c r="C569" s="107"/>
      <c r="D569" s="106"/>
      <c r="E569" s="106"/>
      <c r="F569" s="130" t="str">
        <f aca="false">IF(A569="","",MIN(E569/(37.5),1))</f>
        <v/>
      </c>
      <c r="G569" s="108"/>
      <c r="H569" s="106"/>
      <c r="I569" s="107"/>
      <c r="J569" s="131" t="str">
        <f aca="false" t="array" ref="J569:J569">IF(A569="","",ifs(AND(D569=1,H569="Pagas prorrateadas"),2705.41*(F569*G569),AND(D569=1,H569="Pagas no prorrateadas"),2318.93*(F569*G569),AND(D569=2,H569="Pagas prorrateadas"),2246.07*(F569*G569),AND(D569=2,H569="Pagas no prorrateadas"),1925.21*(F569*G569),AND(D569=3,H569="Pagas prorrateadas"),1775.44*(F569*G569),AND(D569=3,H569="Pagas no prorrateadas"),1521.81*(F569*G569),AND(D569=5,H569="Pagas prorrateadas"),1535.9*(F569*G569),AND(D569=5,H569="Pagas no prorrateadas"),1316.49*(F569*G569),AND(D569=7,H569="Pagas prorrateadas"),1493.61*(F569*G569),AND(D569=7,H569="Pagas no prorrateadas"),1280.24*(F569*G569)))</f>
        <v/>
      </c>
      <c r="K569" s="106" t="str">
        <f aca="false">IF(A569="","",IF(J569-I569&gt;=0,"OK",J569-I569))</f>
        <v/>
      </c>
    </row>
    <row r="570" customFormat="false" ht="14.25" hidden="false" customHeight="true" outlineLevel="0" collapsed="false">
      <c r="A570" s="106"/>
      <c r="B570" s="106"/>
      <c r="C570" s="107"/>
      <c r="D570" s="106"/>
      <c r="E570" s="106"/>
      <c r="F570" s="130" t="str">
        <f aca="false">IF(A570="","",MIN(E570/(37.5),1))</f>
        <v/>
      </c>
      <c r="G570" s="108"/>
      <c r="H570" s="106"/>
      <c r="I570" s="107"/>
      <c r="J570" s="131" t="str">
        <f aca="false" t="array" ref="J570:J570">IF(A570="","",ifs(AND(D570=1,H570="Pagas prorrateadas"),2705.41*(F570*G570),AND(D570=1,H570="Pagas no prorrateadas"),2318.93*(F570*G570),AND(D570=2,H570="Pagas prorrateadas"),2246.07*(F570*G570),AND(D570=2,H570="Pagas no prorrateadas"),1925.21*(F570*G570),AND(D570=3,H570="Pagas prorrateadas"),1775.44*(F570*G570),AND(D570=3,H570="Pagas no prorrateadas"),1521.81*(F570*G570),AND(D570=5,H570="Pagas prorrateadas"),1535.9*(F570*G570),AND(D570=5,H570="Pagas no prorrateadas"),1316.49*(F570*G570),AND(D570=7,H570="Pagas prorrateadas"),1493.61*(F570*G570),AND(D570=7,H570="Pagas no prorrateadas"),1280.24*(F570*G570)))</f>
        <v/>
      </c>
      <c r="K570" s="106" t="str">
        <f aca="false">IF(A570="","",IF(J570-I570&gt;=0,"OK",J570-I570))</f>
        <v/>
      </c>
    </row>
    <row r="571" customFormat="false" ht="14.25" hidden="false" customHeight="true" outlineLevel="0" collapsed="false">
      <c r="A571" s="106"/>
      <c r="B571" s="106"/>
      <c r="C571" s="107"/>
      <c r="D571" s="106"/>
      <c r="E571" s="106"/>
      <c r="F571" s="130" t="str">
        <f aca="false">IF(A571="","",MIN(E571/(37.5),1))</f>
        <v/>
      </c>
      <c r="G571" s="108"/>
      <c r="H571" s="106"/>
      <c r="I571" s="107"/>
      <c r="J571" s="131" t="str">
        <f aca="false" t="array" ref="J571:J571">IF(A571="","",ifs(AND(D571=1,H571="Pagas prorrateadas"),2705.41*(F571*G571),AND(D571=1,H571="Pagas no prorrateadas"),2318.93*(F571*G571),AND(D571=2,H571="Pagas prorrateadas"),2246.07*(F571*G571),AND(D571=2,H571="Pagas no prorrateadas"),1925.21*(F571*G571),AND(D571=3,H571="Pagas prorrateadas"),1775.44*(F571*G571),AND(D571=3,H571="Pagas no prorrateadas"),1521.81*(F571*G571),AND(D571=5,H571="Pagas prorrateadas"),1535.9*(F571*G571),AND(D571=5,H571="Pagas no prorrateadas"),1316.49*(F571*G571),AND(D571=7,H571="Pagas prorrateadas"),1493.61*(F571*G571),AND(D571=7,H571="Pagas no prorrateadas"),1280.24*(F571*G571)))</f>
        <v/>
      </c>
      <c r="K571" s="106" t="str">
        <f aca="false">IF(A571="","",IF(J571-I571&gt;=0,"OK",J571-I571))</f>
        <v/>
      </c>
    </row>
    <row r="572" customFormat="false" ht="14.25" hidden="false" customHeight="true" outlineLevel="0" collapsed="false">
      <c r="A572" s="106"/>
      <c r="B572" s="106"/>
      <c r="C572" s="107"/>
      <c r="D572" s="106"/>
      <c r="E572" s="106"/>
      <c r="F572" s="130" t="str">
        <f aca="false">IF(A572="","",MIN(E572/(37.5),1))</f>
        <v/>
      </c>
      <c r="G572" s="108"/>
      <c r="H572" s="106"/>
      <c r="I572" s="107"/>
      <c r="J572" s="131" t="str">
        <f aca="false" t="array" ref="J572:J572">IF(A572="","",ifs(AND(D572=1,H572="Pagas prorrateadas"),2705.41*(F572*G572),AND(D572=1,H572="Pagas no prorrateadas"),2318.93*(F572*G572),AND(D572=2,H572="Pagas prorrateadas"),2246.07*(F572*G572),AND(D572=2,H572="Pagas no prorrateadas"),1925.21*(F572*G572),AND(D572=3,H572="Pagas prorrateadas"),1775.44*(F572*G572),AND(D572=3,H572="Pagas no prorrateadas"),1521.81*(F572*G572),AND(D572=5,H572="Pagas prorrateadas"),1535.9*(F572*G572),AND(D572=5,H572="Pagas no prorrateadas"),1316.49*(F572*G572),AND(D572=7,H572="Pagas prorrateadas"),1493.61*(F572*G572),AND(D572=7,H572="Pagas no prorrateadas"),1280.24*(F572*G572)))</f>
        <v/>
      </c>
      <c r="K572" s="106" t="str">
        <f aca="false">IF(A572="","",IF(J572-I572&gt;=0,"OK",J572-I572))</f>
        <v/>
      </c>
    </row>
    <row r="573" customFormat="false" ht="14.25" hidden="false" customHeight="true" outlineLevel="0" collapsed="false">
      <c r="A573" s="106"/>
      <c r="B573" s="106"/>
      <c r="C573" s="107"/>
      <c r="D573" s="106"/>
      <c r="E573" s="106"/>
      <c r="F573" s="130" t="str">
        <f aca="false">IF(A573="","",MIN(E573/(37.5),1))</f>
        <v/>
      </c>
      <c r="G573" s="108"/>
      <c r="H573" s="106"/>
      <c r="I573" s="107"/>
      <c r="J573" s="131" t="str">
        <f aca="false" t="array" ref="J573:J573">IF(A573="","",ifs(AND(D573=1,H573="Pagas prorrateadas"),2705.41*(F573*G573),AND(D573=1,H573="Pagas no prorrateadas"),2318.93*(F573*G573),AND(D573=2,H573="Pagas prorrateadas"),2246.07*(F573*G573),AND(D573=2,H573="Pagas no prorrateadas"),1925.21*(F573*G573),AND(D573=3,H573="Pagas prorrateadas"),1775.44*(F573*G573),AND(D573=3,H573="Pagas no prorrateadas"),1521.81*(F573*G573),AND(D573=5,H573="Pagas prorrateadas"),1535.9*(F573*G573),AND(D573=5,H573="Pagas no prorrateadas"),1316.49*(F573*G573),AND(D573=7,H573="Pagas prorrateadas"),1493.61*(F573*G573),AND(D573=7,H573="Pagas no prorrateadas"),1280.24*(F573*G573)))</f>
        <v/>
      </c>
      <c r="K573" s="106" t="str">
        <f aca="false">IF(A573="","",IF(J573-I573&gt;=0,"OK",J573-I573))</f>
        <v/>
      </c>
    </row>
    <row r="574" customFormat="false" ht="14.25" hidden="false" customHeight="true" outlineLevel="0" collapsed="false">
      <c r="A574" s="106"/>
      <c r="B574" s="106"/>
      <c r="C574" s="107"/>
      <c r="D574" s="106"/>
      <c r="E574" s="106"/>
      <c r="F574" s="130" t="str">
        <f aca="false">IF(A574="","",MIN(E574/(37.5),1))</f>
        <v/>
      </c>
      <c r="G574" s="108"/>
      <c r="H574" s="106"/>
      <c r="I574" s="107"/>
      <c r="J574" s="131" t="str">
        <f aca="false" t="array" ref="J574:J574">IF(A574="","",ifs(AND(D574=1,H574="Pagas prorrateadas"),2705.41*(F574*G574),AND(D574=1,H574="Pagas no prorrateadas"),2318.93*(F574*G574),AND(D574=2,H574="Pagas prorrateadas"),2246.07*(F574*G574),AND(D574=2,H574="Pagas no prorrateadas"),1925.21*(F574*G574),AND(D574=3,H574="Pagas prorrateadas"),1775.44*(F574*G574),AND(D574=3,H574="Pagas no prorrateadas"),1521.81*(F574*G574),AND(D574=5,H574="Pagas prorrateadas"),1535.9*(F574*G574),AND(D574=5,H574="Pagas no prorrateadas"),1316.49*(F574*G574),AND(D574=7,H574="Pagas prorrateadas"),1493.61*(F574*G574),AND(D574=7,H574="Pagas no prorrateadas"),1280.24*(F574*G574)))</f>
        <v/>
      </c>
      <c r="K574" s="106" t="str">
        <f aca="false">IF(A574="","",IF(J574-I574&gt;=0,"OK",J574-I574))</f>
        <v/>
      </c>
    </row>
    <row r="575" customFormat="false" ht="14.25" hidden="false" customHeight="true" outlineLevel="0" collapsed="false">
      <c r="A575" s="106"/>
      <c r="B575" s="106"/>
      <c r="C575" s="107"/>
      <c r="D575" s="106"/>
      <c r="E575" s="106"/>
      <c r="F575" s="130" t="str">
        <f aca="false">IF(A575="","",MIN(E575/(37.5),1))</f>
        <v/>
      </c>
      <c r="G575" s="108"/>
      <c r="H575" s="106"/>
      <c r="I575" s="107"/>
      <c r="J575" s="131" t="str">
        <f aca="false" t="array" ref="J575:J575">IF(A575="","",ifs(AND(D575=1,H575="Pagas prorrateadas"),2705.41*(F575*G575),AND(D575=1,H575="Pagas no prorrateadas"),2318.93*(F575*G575),AND(D575=2,H575="Pagas prorrateadas"),2246.07*(F575*G575),AND(D575=2,H575="Pagas no prorrateadas"),1925.21*(F575*G575),AND(D575=3,H575="Pagas prorrateadas"),1775.44*(F575*G575),AND(D575=3,H575="Pagas no prorrateadas"),1521.81*(F575*G575),AND(D575=5,H575="Pagas prorrateadas"),1535.9*(F575*G575),AND(D575=5,H575="Pagas no prorrateadas"),1316.49*(F575*G575),AND(D575=7,H575="Pagas prorrateadas"),1493.61*(F575*G575),AND(D575=7,H575="Pagas no prorrateadas"),1280.24*(F575*G575)))</f>
        <v/>
      </c>
      <c r="K575" s="106" t="str">
        <f aca="false">IF(A575="","",IF(J575-I575&gt;=0,"OK",J575-I575))</f>
        <v/>
      </c>
    </row>
    <row r="576" customFormat="false" ht="14.25" hidden="false" customHeight="true" outlineLevel="0" collapsed="false">
      <c r="A576" s="106"/>
      <c r="B576" s="106"/>
      <c r="C576" s="107"/>
      <c r="D576" s="106"/>
      <c r="E576" s="106"/>
      <c r="F576" s="130" t="str">
        <f aca="false">IF(A576="","",MIN(E576/(37.5),1))</f>
        <v/>
      </c>
      <c r="G576" s="108"/>
      <c r="H576" s="106"/>
      <c r="I576" s="107"/>
      <c r="J576" s="131" t="str">
        <f aca="false" t="array" ref="J576:J576">IF(A576="","",ifs(AND(D576=1,H576="Pagas prorrateadas"),2705.41*(F576*G576),AND(D576=1,H576="Pagas no prorrateadas"),2318.93*(F576*G576),AND(D576=2,H576="Pagas prorrateadas"),2246.07*(F576*G576),AND(D576=2,H576="Pagas no prorrateadas"),1925.21*(F576*G576),AND(D576=3,H576="Pagas prorrateadas"),1775.44*(F576*G576),AND(D576=3,H576="Pagas no prorrateadas"),1521.81*(F576*G576),AND(D576=5,H576="Pagas prorrateadas"),1535.9*(F576*G576),AND(D576=5,H576="Pagas no prorrateadas"),1316.49*(F576*G576),AND(D576=7,H576="Pagas prorrateadas"),1493.61*(F576*G576),AND(D576=7,H576="Pagas no prorrateadas"),1280.24*(F576*G576)))</f>
        <v/>
      </c>
      <c r="K576" s="106" t="str">
        <f aca="false">IF(A576="","",IF(J576-I576&gt;=0,"OK",J576-I576))</f>
        <v/>
      </c>
    </row>
    <row r="577" customFormat="false" ht="14.25" hidden="false" customHeight="true" outlineLevel="0" collapsed="false">
      <c r="A577" s="106"/>
      <c r="B577" s="106"/>
      <c r="C577" s="107"/>
      <c r="D577" s="106"/>
      <c r="E577" s="106"/>
      <c r="F577" s="130" t="str">
        <f aca="false">IF(A577="","",MIN(E577/(37.5),1))</f>
        <v/>
      </c>
      <c r="G577" s="108"/>
      <c r="H577" s="106"/>
      <c r="I577" s="107"/>
      <c r="J577" s="131" t="str">
        <f aca="false" t="array" ref="J577:J577">IF(A577="","",ifs(AND(D577=1,H577="Pagas prorrateadas"),2705.41*(F577*G577),AND(D577=1,H577="Pagas no prorrateadas"),2318.93*(F577*G577),AND(D577=2,H577="Pagas prorrateadas"),2246.07*(F577*G577),AND(D577=2,H577="Pagas no prorrateadas"),1925.21*(F577*G577),AND(D577=3,H577="Pagas prorrateadas"),1775.44*(F577*G577),AND(D577=3,H577="Pagas no prorrateadas"),1521.81*(F577*G577),AND(D577=5,H577="Pagas prorrateadas"),1535.9*(F577*G577),AND(D577=5,H577="Pagas no prorrateadas"),1316.49*(F577*G577),AND(D577=7,H577="Pagas prorrateadas"),1493.61*(F577*G577),AND(D577=7,H577="Pagas no prorrateadas"),1280.24*(F577*G577)))</f>
        <v/>
      </c>
      <c r="K577" s="106" t="str">
        <f aca="false">IF(A577="","",IF(J577-I577&gt;=0,"OK",J577-I577))</f>
        <v/>
      </c>
    </row>
    <row r="578" customFormat="false" ht="14.25" hidden="false" customHeight="true" outlineLevel="0" collapsed="false">
      <c r="A578" s="106"/>
      <c r="B578" s="106"/>
      <c r="C578" s="107"/>
      <c r="D578" s="106"/>
      <c r="E578" s="106"/>
      <c r="F578" s="130" t="str">
        <f aca="false">IF(A578="","",MIN(E578/(37.5),1))</f>
        <v/>
      </c>
      <c r="G578" s="108"/>
      <c r="H578" s="106"/>
      <c r="I578" s="107"/>
      <c r="J578" s="131" t="str">
        <f aca="false" t="array" ref="J578:J578">IF(A578="","",ifs(AND(D578=1,H578="Pagas prorrateadas"),2705.41*(F578*G578),AND(D578=1,H578="Pagas no prorrateadas"),2318.93*(F578*G578),AND(D578=2,H578="Pagas prorrateadas"),2246.07*(F578*G578),AND(D578=2,H578="Pagas no prorrateadas"),1925.21*(F578*G578),AND(D578=3,H578="Pagas prorrateadas"),1775.44*(F578*G578),AND(D578=3,H578="Pagas no prorrateadas"),1521.81*(F578*G578),AND(D578=5,H578="Pagas prorrateadas"),1535.9*(F578*G578),AND(D578=5,H578="Pagas no prorrateadas"),1316.49*(F578*G578),AND(D578=7,H578="Pagas prorrateadas"),1493.61*(F578*G578),AND(D578=7,H578="Pagas no prorrateadas"),1280.24*(F578*G578)))</f>
        <v/>
      </c>
      <c r="K578" s="106" t="str">
        <f aca="false">IF(A578="","",IF(J578-I578&gt;=0,"OK",J578-I578))</f>
        <v/>
      </c>
    </row>
    <row r="579" customFormat="false" ht="14.25" hidden="false" customHeight="true" outlineLevel="0" collapsed="false">
      <c r="A579" s="106"/>
      <c r="B579" s="106"/>
      <c r="C579" s="107"/>
      <c r="D579" s="106"/>
      <c r="E579" s="106"/>
      <c r="F579" s="130" t="str">
        <f aca="false">IF(A579="","",MIN(E579/(37.5),1))</f>
        <v/>
      </c>
      <c r="G579" s="108"/>
      <c r="H579" s="106"/>
      <c r="I579" s="107"/>
      <c r="J579" s="131" t="str">
        <f aca="false" t="array" ref="J579:J579">IF(A579="","",ifs(AND(D579=1,H579="Pagas prorrateadas"),2705.41*(F579*G579),AND(D579=1,H579="Pagas no prorrateadas"),2318.93*(F579*G579),AND(D579=2,H579="Pagas prorrateadas"),2246.07*(F579*G579),AND(D579=2,H579="Pagas no prorrateadas"),1925.21*(F579*G579),AND(D579=3,H579="Pagas prorrateadas"),1775.44*(F579*G579),AND(D579=3,H579="Pagas no prorrateadas"),1521.81*(F579*G579),AND(D579=5,H579="Pagas prorrateadas"),1535.9*(F579*G579),AND(D579=5,H579="Pagas no prorrateadas"),1316.49*(F579*G579),AND(D579=7,H579="Pagas prorrateadas"),1493.61*(F579*G579),AND(D579=7,H579="Pagas no prorrateadas"),1280.24*(F579*G579)))</f>
        <v/>
      </c>
      <c r="K579" s="106" t="str">
        <f aca="false">IF(A579="","",IF(J579-I579&gt;=0,"OK",J579-I579))</f>
        <v/>
      </c>
    </row>
    <row r="580" customFormat="false" ht="14.25" hidden="false" customHeight="true" outlineLevel="0" collapsed="false">
      <c r="A580" s="106"/>
      <c r="B580" s="106"/>
      <c r="C580" s="107"/>
      <c r="D580" s="106"/>
      <c r="E580" s="106"/>
      <c r="F580" s="130" t="str">
        <f aca="false">IF(A580="","",MIN(E580/(37.5),1))</f>
        <v/>
      </c>
      <c r="G580" s="108"/>
      <c r="H580" s="106"/>
      <c r="I580" s="107"/>
      <c r="J580" s="131" t="str">
        <f aca="false" t="array" ref="J580:J580">IF(A580="","",ifs(AND(D580=1,H580="Pagas prorrateadas"),2705.41*(F580*G580),AND(D580=1,H580="Pagas no prorrateadas"),2318.93*(F580*G580),AND(D580=2,H580="Pagas prorrateadas"),2246.07*(F580*G580),AND(D580=2,H580="Pagas no prorrateadas"),1925.21*(F580*G580),AND(D580=3,H580="Pagas prorrateadas"),1775.44*(F580*G580),AND(D580=3,H580="Pagas no prorrateadas"),1521.81*(F580*G580),AND(D580=5,H580="Pagas prorrateadas"),1535.9*(F580*G580),AND(D580=5,H580="Pagas no prorrateadas"),1316.49*(F580*G580),AND(D580=7,H580="Pagas prorrateadas"),1493.61*(F580*G580),AND(D580=7,H580="Pagas no prorrateadas"),1280.24*(F580*G580)))</f>
        <v/>
      </c>
      <c r="K580" s="106" t="str">
        <f aca="false">IF(A580="","",IF(J580-I580&gt;=0,"OK",J580-I580))</f>
        <v/>
      </c>
    </row>
    <row r="581" customFormat="false" ht="14.25" hidden="false" customHeight="true" outlineLevel="0" collapsed="false">
      <c r="A581" s="106"/>
      <c r="B581" s="106"/>
      <c r="C581" s="107"/>
      <c r="D581" s="106"/>
      <c r="E581" s="106"/>
      <c r="F581" s="130" t="str">
        <f aca="false">IF(A581="","",MIN(E581/(37.5),1))</f>
        <v/>
      </c>
      <c r="G581" s="108"/>
      <c r="H581" s="106"/>
      <c r="I581" s="107"/>
      <c r="J581" s="131" t="str">
        <f aca="false" t="array" ref="J581:J581">IF(A581="","",ifs(AND(D581=1,H581="Pagas prorrateadas"),2705.41*(F581*G581),AND(D581=1,H581="Pagas no prorrateadas"),2318.93*(F581*G581),AND(D581=2,H581="Pagas prorrateadas"),2246.07*(F581*G581),AND(D581=2,H581="Pagas no prorrateadas"),1925.21*(F581*G581),AND(D581=3,H581="Pagas prorrateadas"),1775.44*(F581*G581),AND(D581=3,H581="Pagas no prorrateadas"),1521.81*(F581*G581),AND(D581=5,H581="Pagas prorrateadas"),1535.9*(F581*G581),AND(D581=5,H581="Pagas no prorrateadas"),1316.49*(F581*G581),AND(D581=7,H581="Pagas prorrateadas"),1493.61*(F581*G581),AND(D581=7,H581="Pagas no prorrateadas"),1280.24*(F581*G581)))</f>
        <v/>
      </c>
      <c r="K581" s="106" t="str">
        <f aca="false">IF(A581="","",IF(J581-I581&gt;=0,"OK",J581-I581))</f>
        <v/>
      </c>
    </row>
    <row r="582" customFormat="false" ht="14.25" hidden="false" customHeight="true" outlineLevel="0" collapsed="false">
      <c r="A582" s="106"/>
      <c r="B582" s="106"/>
      <c r="C582" s="107"/>
      <c r="D582" s="106"/>
      <c r="E582" s="106"/>
      <c r="F582" s="130" t="str">
        <f aca="false">IF(A582="","",MIN(E582/(37.5),1))</f>
        <v/>
      </c>
      <c r="G582" s="108"/>
      <c r="H582" s="106"/>
      <c r="I582" s="107"/>
      <c r="J582" s="131" t="str">
        <f aca="false" t="array" ref="J582:J582">IF(A582="","",ifs(AND(D582=1,H582="Pagas prorrateadas"),2705.41*(F582*G582),AND(D582=1,H582="Pagas no prorrateadas"),2318.93*(F582*G582),AND(D582=2,H582="Pagas prorrateadas"),2246.07*(F582*G582),AND(D582=2,H582="Pagas no prorrateadas"),1925.21*(F582*G582),AND(D582=3,H582="Pagas prorrateadas"),1775.44*(F582*G582),AND(D582=3,H582="Pagas no prorrateadas"),1521.81*(F582*G582),AND(D582=5,H582="Pagas prorrateadas"),1535.9*(F582*G582),AND(D582=5,H582="Pagas no prorrateadas"),1316.49*(F582*G582),AND(D582=7,H582="Pagas prorrateadas"),1493.61*(F582*G582),AND(D582=7,H582="Pagas no prorrateadas"),1280.24*(F582*G582)))</f>
        <v/>
      </c>
      <c r="K582" s="106" t="str">
        <f aca="false">IF(A582="","",IF(J582-I582&gt;=0,"OK",J582-I582))</f>
        <v/>
      </c>
    </row>
    <row r="583" customFormat="false" ht="14.25" hidden="false" customHeight="true" outlineLevel="0" collapsed="false">
      <c r="A583" s="106"/>
      <c r="B583" s="106"/>
      <c r="C583" s="107"/>
      <c r="D583" s="106"/>
      <c r="E583" s="106"/>
      <c r="F583" s="130" t="str">
        <f aca="false">IF(A583="","",MIN(E583/(37.5),1))</f>
        <v/>
      </c>
      <c r="G583" s="108"/>
      <c r="H583" s="106"/>
      <c r="I583" s="107"/>
      <c r="J583" s="131" t="str">
        <f aca="false" t="array" ref="J583:J583">IF(A583="","",ifs(AND(D583=1,H583="Pagas prorrateadas"),2705.41*(F583*G583),AND(D583=1,H583="Pagas no prorrateadas"),2318.93*(F583*G583),AND(D583=2,H583="Pagas prorrateadas"),2246.07*(F583*G583),AND(D583=2,H583="Pagas no prorrateadas"),1925.21*(F583*G583),AND(D583=3,H583="Pagas prorrateadas"),1775.44*(F583*G583),AND(D583=3,H583="Pagas no prorrateadas"),1521.81*(F583*G583),AND(D583=5,H583="Pagas prorrateadas"),1535.9*(F583*G583),AND(D583=5,H583="Pagas no prorrateadas"),1316.49*(F583*G583),AND(D583=7,H583="Pagas prorrateadas"),1493.61*(F583*G583),AND(D583=7,H583="Pagas no prorrateadas"),1280.24*(F583*G583)))</f>
        <v/>
      </c>
      <c r="K583" s="106" t="str">
        <f aca="false">IF(A583="","",IF(J583-I583&gt;=0,"OK",J583-I583))</f>
        <v/>
      </c>
    </row>
    <row r="584" customFormat="false" ht="14.25" hidden="false" customHeight="true" outlineLevel="0" collapsed="false">
      <c r="A584" s="106"/>
      <c r="B584" s="106"/>
      <c r="C584" s="107"/>
      <c r="D584" s="106"/>
      <c r="E584" s="106"/>
      <c r="F584" s="130" t="str">
        <f aca="false">IF(A584="","",MIN(E584/(37.5),1))</f>
        <v/>
      </c>
      <c r="G584" s="108"/>
      <c r="H584" s="106"/>
      <c r="I584" s="107"/>
      <c r="J584" s="131" t="str">
        <f aca="false" t="array" ref="J584:J584">IF(A584="","",ifs(AND(D584=1,H584="Pagas prorrateadas"),2705.41*(F584*G584),AND(D584=1,H584="Pagas no prorrateadas"),2318.93*(F584*G584),AND(D584=2,H584="Pagas prorrateadas"),2246.07*(F584*G584),AND(D584=2,H584="Pagas no prorrateadas"),1925.21*(F584*G584),AND(D584=3,H584="Pagas prorrateadas"),1775.44*(F584*G584),AND(D584=3,H584="Pagas no prorrateadas"),1521.81*(F584*G584),AND(D584=5,H584="Pagas prorrateadas"),1535.9*(F584*G584),AND(D584=5,H584="Pagas no prorrateadas"),1316.49*(F584*G584),AND(D584=7,H584="Pagas prorrateadas"),1493.61*(F584*G584),AND(D584=7,H584="Pagas no prorrateadas"),1280.24*(F584*G584)))</f>
        <v/>
      </c>
      <c r="K584" s="106" t="str">
        <f aca="false">IF(A584="","",IF(J584-I584&gt;=0,"OK",J584-I584))</f>
        <v/>
      </c>
    </row>
    <row r="585" customFormat="false" ht="14.25" hidden="false" customHeight="true" outlineLevel="0" collapsed="false">
      <c r="A585" s="106"/>
      <c r="B585" s="106"/>
      <c r="C585" s="107"/>
      <c r="D585" s="106"/>
      <c r="E585" s="106"/>
      <c r="F585" s="130" t="str">
        <f aca="false">IF(A585="","",MIN(E585/(37.5),1))</f>
        <v/>
      </c>
      <c r="G585" s="108"/>
      <c r="H585" s="106"/>
      <c r="I585" s="107"/>
      <c r="J585" s="131" t="str">
        <f aca="false" t="array" ref="J585:J585">IF(A585="","",ifs(AND(D585=1,H585="Pagas prorrateadas"),2705.41*(F585*G585),AND(D585=1,H585="Pagas no prorrateadas"),2318.93*(F585*G585),AND(D585=2,H585="Pagas prorrateadas"),2246.07*(F585*G585),AND(D585=2,H585="Pagas no prorrateadas"),1925.21*(F585*G585),AND(D585=3,H585="Pagas prorrateadas"),1775.44*(F585*G585),AND(D585=3,H585="Pagas no prorrateadas"),1521.81*(F585*G585),AND(D585=5,H585="Pagas prorrateadas"),1535.9*(F585*G585),AND(D585=5,H585="Pagas no prorrateadas"),1316.49*(F585*G585),AND(D585=7,H585="Pagas prorrateadas"),1493.61*(F585*G585),AND(D585=7,H585="Pagas no prorrateadas"),1280.24*(F585*G585)))</f>
        <v/>
      </c>
      <c r="K585" s="106" t="str">
        <f aca="false">IF(A585="","",IF(J585-I585&gt;=0,"OK",J585-I585))</f>
        <v/>
      </c>
    </row>
    <row r="586" customFormat="false" ht="14.25" hidden="false" customHeight="true" outlineLevel="0" collapsed="false">
      <c r="A586" s="106"/>
      <c r="B586" s="106"/>
      <c r="C586" s="107"/>
      <c r="D586" s="106"/>
      <c r="E586" s="106"/>
      <c r="F586" s="130" t="str">
        <f aca="false">IF(A586="","",MIN(E586/(37.5),1))</f>
        <v/>
      </c>
      <c r="G586" s="108"/>
      <c r="H586" s="106"/>
      <c r="I586" s="107"/>
      <c r="J586" s="131" t="str">
        <f aca="false" t="array" ref="J586:J586">IF(A586="","",ifs(AND(D586=1,H586="Pagas prorrateadas"),2705.41*(F586*G586),AND(D586=1,H586="Pagas no prorrateadas"),2318.93*(F586*G586),AND(D586=2,H586="Pagas prorrateadas"),2246.07*(F586*G586),AND(D586=2,H586="Pagas no prorrateadas"),1925.21*(F586*G586),AND(D586=3,H586="Pagas prorrateadas"),1775.44*(F586*G586),AND(D586=3,H586="Pagas no prorrateadas"),1521.81*(F586*G586),AND(D586=5,H586="Pagas prorrateadas"),1535.9*(F586*G586),AND(D586=5,H586="Pagas no prorrateadas"),1316.49*(F586*G586),AND(D586=7,H586="Pagas prorrateadas"),1493.61*(F586*G586),AND(D586=7,H586="Pagas no prorrateadas"),1280.24*(F586*G586)))</f>
        <v/>
      </c>
      <c r="K586" s="106" t="str">
        <f aca="false">IF(A586="","",IF(J586-I586&gt;=0,"OK",J586-I586))</f>
        <v/>
      </c>
    </row>
    <row r="587" customFormat="false" ht="14.25" hidden="false" customHeight="true" outlineLevel="0" collapsed="false">
      <c r="A587" s="106"/>
      <c r="B587" s="106"/>
      <c r="C587" s="107"/>
      <c r="D587" s="106"/>
      <c r="E587" s="106"/>
      <c r="F587" s="130" t="str">
        <f aca="false">IF(A587="","",MIN(E587/(37.5),1))</f>
        <v/>
      </c>
      <c r="G587" s="108"/>
      <c r="H587" s="106"/>
      <c r="I587" s="107"/>
      <c r="J587" s="131" t="str">
        <f aca="false" t="array" ref="J587:J587">IF(A587="","",ifs(AND(D587=1,H587="Pagas prorrateadas"),2705.41*(F587*G587),AND(D587=1,H587="Pagas no prorrateadas"),2318.93*(F587*G587),AND(D587=2,H587="Pagas prorrateadas"),2246.07*(F587*G587),AND(D587=2,H587="Pagas no prorrateadas"),1925.21*(F587*G587),AND(D587=3,H587="Pagas prorrateadas"),1775.44*(F587*G587),AND(D587=3,H587="Pagas no prorrateadas"),1521.81*(F587*G587),AND(D587=5,H587="Pagas prorrateadas"),1535.9*(F587*G587),AND(D587=5,H587="Pagas no prorrateadas"),1316.49*(F587*G587),AND(D587=7,H587="Pagas prorrateadas"),1493.61*(F587*G587),AND(D587=7,H587="Pagas no prorrateadas"),1280.24*(F587*G587)))</f>
        <v/>
      </c>
      <c r="K587" s="106" t="str">
        <f aca="false">IF(A587="","",IF(J587-I587&gt;=0,"OK",J587-I587))</f>
        <v/>
      </c>
    </row>
    <row r="588" customFormat="false" ht="14.25" hidden="false" customHeight="true" outlineLevel="0" collapsed="false">
      <c r="A588" s="106"/>
      <c r="B588" s="106"/>
      <c r="C588" s="107"/>
      <c r="D588" s="106"/>
      <c r="E588" s="106"/>
      <c r="F588" s="130" t="str">
        <f aca="false">IF(A588="","",MIN(E588/(37.5),1))</f>
        <v/>
      </c>
      <c r="G588" s="108"/>
      <c r="H588" s="106"/>
      <c r="I588" s="107"/>
      <c r="J588" s="131" t="str">
        <f aca="false" t="array" ref="J588:J588">IF(A588="","",ifs(AND(D588=1,H588="Pagas prorrateadas"),2705.41*(F588*G588),AND(D588=1,H588="Pagas no prorrateadas"),2318.93*(F588*G588),AND(D588=2,H588="Pagas prorrateadas"),2246.07*(F588*G588),AND(D588=2,H588="Pagas no prorrateadas"),1925.21*(F588*G588),AND(D588=3,H588="Pagas prorrateadas"),1775.44*(F588*G588),AND(D588=3,H588="Pagas no prorrateadas"),1521.81*(F588*G588),AND(D588=5,H588="Pagas prorrateadas"),1535.9*(F588*G588),AND(D588=5,H588="Pagas no prorrateadas"),1316.49*(F588*G588),AND(D588=7,H588="Pagas prorrateadas"),1493.61*(F588*G588),AND(D588=7,H588="Pagas no prorrateadas"),1280.24*(F588*G588)))</f>
        <v/>
      </c>
      <c r="K588" s="106" t="str">
        <f aca="false">IF(A588="","",IF(J588-I588&gt;=0,"OK",J588-I588))</f>
        <v/>
      </c>
    </row>
    <row r="589" customFormat="false" ht="14.25" hidden="false" customHeight="true" outlineLevel="0" collapsed="false">
      <c r="A589" s="106"/>
      <c r="B589" s="106"/>
      <c r="C589" s="107"/>
      <c r="D589" s="106"/>
      <c r="E589" s="106"/>
      <c r="F589" s="130" t="str">
        <f aca="false">IF(A589="","",MIN(E589/(37.5),1))</f>
        <v/>
      </c>
      <c r="G589" s="108"/>
      <c r="H589" s="106"/>
      <c r="I589" s="107"/>
      <c r="J589" s="131" t="str">
        <f aca="false" t="array" ref="J589:J589">IF(A589="","",ifs(AND(D589=1,H589="Pagas prorrateadas"),2705.41*(F589*G589),AND(D589=1,H589="Pagas no prorrateadas"),2318.93*(F589*G589),AND(D589=2,H589="Pagas prorrateadas"),2246.07*(F589*G589),AND(D589=2,H589="Pagas no prorrateadas"),1925.21*(F589*G589),AND(D589=3,H589="Pagas prorrateadas"),1775.44*(F589*G589),AND(D589=3,H589="Pagas no prorrateadas"),1521.81*(F589*G589),AND(D589=5,H589="Pagas prorrateadas"),1535.9*(F589*G589),AND(D589=5,H589="Pagas no prorrateadas"),1316.49*(F589*G589),AND(D589=7,H589="Pagas prorrateadas"),1493.61*(F589*G589),AND(D589=7,H589="Pagas no prorrateadas"),1280.24*(F589*G589)))</f>
        <v/>
      </c>
      <c r="K589" s="106" t="str">
        <f aca="false">IF(A589="","",IF(J589-I589&gt;=0,"OK",J589-I589))</f>
        <v/>
      </c>
    </row>
    <row r="590" customFormat="false" ht="14.25" hidden="false" customHeight="true" outlineLevel="0" collapsed="false">
      <c r="A590" s="106"/>
      <c r="B590" s="106"/>
      <c r="C590" s="107"/>
      <c r="D590" s="106"/>
      <c r="E590" s="106"/>
      <c r="F590" s="130" t="str">
        <f aca="false">IF(A590="","",MIN(E590/(37.5),1))</f>
        <v/>
      </c>
      <c r="G590" s="108"/>
      <c r="H590" s="106"/>
      <c r="I590" s="107"/>
      <c r="J590" s="131" t="str">
        <f aca="false" t="array" ref="J590:J590">IF(A590="","",ifs(AND(D590=1,H590="Pagas prorrateadas"),2705.41*(F590*G590),AND(D590=1,H590="Pagas no prorrateadas"),2318.93*(F590*G590),AND(D590=2,H590="Pagas prorrateadas"),2246.07*(F590*G590),AND(D590=2,H590="Pagas no prorrateadas"),1925.21*(F590*G590),AND(D590=3,H590="Pagas prorrateadas"),1775.44*(F590*G590),AND(D590=3,H590="Pagas no prorrateadas"),1521.81*(F590*G590),AND(D590=5,H590="Pagas prorrateadas"),1535.9*(F590*G590),AND(D590=5,H590="Pagas no prorrateadas"),1316.49*(F590*G590),AND(D590=7,H590="Pagas prorrateadas"),1493.61*(F590*G590),AND(D590=7,H590="Pagas no prorrateadas"),1280.24*(F590*G590)))</f>
        <v/>
      </c>
      <c r="K590" s="106" t="str">
        <f aca="false">IF(A590="","",IF(J590-I590&gt;=0,"OK",J590-I590))</f>
        <v/>
      </c>
    </row>
    <row r="591" customFormat="false" ht="14.25" hidden="false" customHeight="true" outlineLevel="0" collapsed="false">
      <c r="A591" s="106"/>
      <c r="B591" s="106"/>
      <c r="C591" s="107"/>
      <c r="D591" s="106"/>
      <c r="E591" s="106"/>
      <c r="F591" s="130" t="str">
        <f aca="false">IF(A591="","",MIN(E591/(37.5),1))</f>
        <v/>
      </c>
      <c r="G591" s="108"/>
      <c r="H591" s="106"/>
      <c r="I591" s="107"/>
      <c r="J591" s="131" t="str">
        <f aca="false" t="array" ref="J591:J591">IF(A591="","",ifs(AND(D591=1,H591="Pagas prorrateadas"),2705.41*(F591*G591),AND(D591=1,H591="Pagas no prorrateadas"),2318.93*(F591*G591),AND(D591=2,H591="Pagas prorrateadas"),2246.07*(F591*G591),AND(D591=2,H591="Pagas no prorrateadas"),1925.21*(F591*G591),AND(D591=3,H591="Pagas prorrateadas"),1775.44*(F591*G591),AND(D591=3,H591="Pagas no prorrateadas"),1521.81*(F591*G591),AND(D591=5,H591="Pagas prorrateadas"),1535.9*(F591*G591),AND(D591=5,H591="Pagas no prorrateadas"),1316.49*(F591*G591),AND(D591=7,H591="Pagas prorrateadas"),1493.61*(F591*G591),AND(D591=7,H591="Pagas no prorrateadas"),1280.24*(F591*G591)))</f>
        <v/>
      </c>
      <c r="K591" s="106" t="str">
        <f aca="false">IF(A591="","",IF(J591-I591&gt;=0,"OK",J591-I591))</f>
        <v/>
      </c>
    </row>
    <row r="592" customFormat="false" ht="14.25" hidden="false" customHeight="true" outlineLevel="0" collapsed="false">
      <c r="A592" s="106"/>
      <c r="B592" s="106"/>
      <c r="C592" s="107"/>
      <c r="D592" s="106"/>
      <c r="E592" s="106"/>
      <c r="F592" s="130" t="str">
        <f aca="false">IF(A592="","",MIN(E592/(37.5),1))</f>
        <v/>
      </c>
      <c r="G592" s="108"/>
      <c r="H592" s="106"/>
      <c r="I592" s="107"/>
      <c r="J592" s="131" t="str">
        <f aca="false" t="array" ref="J592:J592">IF(A592="","",ifs(AND(D592=1,H592="Pagas prorrateadas"),2705.41*(F592*G592),AND(D592=1,H592="Pagas no prorrateadas"),2318.93*(F592*G592),AND(D592=2,H592="Pagas prorrateadas"),2246.07*(F592*G592),AND(D592=2,H592="Pagas no prorrateadas"),1925.21*(F592*G592),AND(D592=3,H592="Pagas prorrateadas"),1775.44*(F592*G592),AND(D592=3,H592="Pagas no prorrateadas"),1521.81*(F592*G592),AND(D592=5,H592="Pagas prorrateadas"),1535.9*(F592*G592),AND(D592=5,H592="Pagas no prorrateadas"),1316.49*(F592*G592),AND(D592=7,H592="Pagas prorrateadas"),1493.61*(F592*G592),AND(D592=7,H592="Pagas no prorrateadas"),1280.24*(F592*G592)))</f>
        <v/>
      </c>
      <c r="K592" s="106" t="str">
        <f aca="false">IF(A592="","",IF(J592-I592&gt;=0,"OK",J592-I592))</f>
        <v/>
      </c>
    </row>
    <row r="593" customFormat="false" ht="14.25" hidden="false" customHeight="true" outlineLevel="0" collapsed="false">
      <c r="A593" s="106"/>
      <c r="B593" s="106"/>
      <c r="C593" s="107"/>
      <c r="D593" s="106"/>
      <c r="E593" s="106"/>
      <c r="F593" s="130" t="str">
        <f aca="false">IF(A593="","",MIN(E593/(37.5),1))</f>
        <v/>
      </c>
      <c r="G593" s="108"/>
      <c r="H593" s="106"/>
      <c r="I593" s="107"/>
      <c r="J593" s="131" t="str">
        <f aca="false" t="array" ref="J593:J593">IF(A593="","",ifs(AND(D593=1,H593="Pagas prorrateadas"),2705.41*(F593*G593),AND(D593=1,H593="Pagas no prorrateadas"),2318.93*(F593*G593),AND(D593=2,H593="Pagas prorrateadas"),2246.07*(F593*G593),AND(D593=2,H593="Pagas no prorrateadas"),1925.21*(F593*G593),AND(D593=3,H593="Pagas prorrateadas"),1775.44*(F593*G593),AND(D593=3,H593="Pagas no prorrateadas"),1521.81*(F593*G593),AND(D593=5,H593="Pagas prorrateadas"),1535.9*(F593*G593),AND(D593=5,H593="Pagas no prorrateadas"),1316.49*(F593*G593),AND(D593=7,H593="Pagas prorrateadas"),1493.61*(F593*G593),AND(D593=7,H593="Pagas no prorrateadas"),1280.24*(F593*G593)))</f>
        <v/>
      </c>
      <c r="K593" s="106" t="str">
        <f aca="false">IF(A593="","",IF(J593-I593&gt;=0,"OK",J593-I593))</f>
        <v/>
      </c>
    </row>
    <row r="594" customFormat="false" ht="14.25" hidden="false" customHeight="true" outlineLevel="0" collapsed="false">
      <c r="A594" s="106"/>
      <c r="B594" s="106"/>
      <c r="C594" s="107"/>
      <c r="D594" s="106"/>
      <c r="E594" s="106"/>
      <c r="F594" s="130" t="str">
        <f aca="false">IF(A594="","",MIN(E594/(37.5),1))</f>
        <v/>
      </c>
      <c r="G594" s="108"/>
      <c r="H594" s="106"/>
      <c r="I594" s="107"/>
      <c r="J594" s="131" t="str">
        <f aca="false" t="array" ref="J594:J594">IF(A594="","",ifs(AND(D594=1,H594="Pagas prorrateadas"),2705.41*(F594*G594),AND(D594=1,H594="Pagas no prorrateadas"),2318.93*(F594*G594),AND(D594=2,H594="Pagas prorrateadas"),2246.07*(F594*G594),AND(D594=2,H594="Pagas no prorrateadas"),1925.21*(F594*G594),AND(D594=3,H594="Pagas prorrateadas"),1775.44*(F594*G594),AND(D594=3,H594="Pagas no prorrateadas"),1521.81*(F594*G594),AND(D594=5,H594="Pagas prorrateadas"),1535.9*(F594*G594),AND(D594=5,H594="Pagas no prorrateadas"),1316.49*(F594*G594),AND(D594=7,H594="Pagas prorrateadas"),1493.61*(F594*G594),AND(D594=7,H594="Pagas no prorrateadas"),1280.24*(F594*G594)))</f>
        <v/>
      </c>
      <c r="K594" s="106" t="str">
        <f aca="false">IF(A594="","",IF(J594-I594&gt;=0,"OK",J594-I594))</f>
        <v/>
      </c>
    </row>
    <row r="595" customFormat="false" ht="14.25" hidden="false" customHeight="true" outlineLevel="0" collapsed="false">
      <c r="A595" s="106"/>
      <c r="B595" s="106"/>
      <c r="C595" s="107"/>
      <c r="D595" s="106"/>
      <c r="E595" s="106"/>
      <c r="F595" s="130" t="str">
        <f aca="false">IF(A595="","",MIN(E595/(37.5),1))</f>
        <v/>
      </c>
      <c r="G595" s="108"/>
      <c r="H595" s="106"/>
      <c r="I595" s="107"/>
      <c r="J595" s="131" t="str">
        <f aca="false" t="array" ref="J595:J595">IF(A595="","",ifs(AND(D595=1,H595="Pagas prorrateadas"),2705.41*(F595*G595),AND(D595=1,H595="Pagas no prorrateadas"),2318.93*(F595*G595),AND(D595=2,H595="Pagas prorrateadas"),2246.07*(F595*G595),AND(D595=2,H595="Pagas no prorrateadas"),1925.21*(F595*G595),AND(D595=3,H595="Pagas prorrateadas"),1775.44*(F595*G595),AND(D595=3,H595="Pagas no prorrateadas"),1521.81*(F595*G595),AND(D595=5,H595="Pagas prorrateadas"),1535.9*(F595*G595),AND(D595=5,H595="Pagas no prorrateadas"),1316.49*(F595*G595),AND(D595=7,H595="Pagas prorrateadas"),1493.61*(F595*G595),AND(D595=7,H595="Pagas no prorrateadas"),1280.24*(F595*G595)))</f>
        <v/>
      </c>
      <c r="K595" s="106" t="str">
        <f aca="false">IF(A595="","",IF(J595-I595&gt;=0,"OK",J595-I595))</f>
        <v/>
      </c>
    </row>
    <row r="596" customFormat="false" ht="14.25" hidden="false" customHeight="true" outlineLevel="0" collapsed="false">
      <c r="A596" s="106"/>
      <c r="B596" s="106"/>
      <c r="C596" s="107"/>
      <c r="D596" s="106"/>
      <c r="E596" s="106"/>
      <c r="F596" s="130" t="str">
        <f aca="false">IF(A596="","",MIN(E596/(37.5),1))</f>
        <v/>
      </c>
      <c r="G596" s="108"/>
      <c r="H596" s="106"/>
      <c r="I596" s="107"/>
      <c r="J596" s="131" t="str">
        <f aca="false" t="array" ref="J596:J596">IF(A596="","",ifs(AND(D596=1,H596="Pagas prorrateadas"),2705.41*(F596*G596),AND(D596=1,H596="Pagas no prorrateadas"),2318.93*(F596*G596),AND(D596=2,H596="Pagas prorrateadas"),2246.07*(F596*G596),AND(D596=2,H596="Pagas no prorrateadas"),1925.21*(F596*G596),AND(D596=3,H596="Pagas prorrateadas"),1775.44*(F596*G596),AND(D596=3,H596="Pagas no prorrateadas"),1521.81*(F596*G596),AND(D596=5,H596="Pagas prorrateadas"),1535.9*(F596*G596),AND(D596=5,H596="Pagas no prorrateadas"),1316.49*(F596*G596),AND(D596=7,H596="Pagas prorrateadas"),1493.61*(F596*G596),AND(D596=7,H596="Pagas no prorrateadas"),1280.24*(F596*G596)))</f>
        <v/>
      </c>
      <c r="K596" s="106" t="str">
        <f aca="false">IF(A596="","",IF(J596-I596&gt;=0,"OK",J596-I596))</f>
        <v/>
      </c>
    </row>
    <row r="597" customFormat="false" ht="14.25" hidden="false" customHeight="true" outlineLevel="0" collapsed="false">
      <c r="A597" s="106"/>
      <c r="B597" s="106"/>
      <c r="C597" s="107"/>
      <c r="D597" s="106"/>
      <c r="E597" s="106"/>
      <c r="F597" s="130" t="str">
        <f aca="false">IF(A597="","",MIN(E597/(37.5),1))</f>
        <v/>
      </c>
      <c r="G597" s="108"/>
      <c r="H597" s="106"/>
      <c r="I597" s="107"/>
      <c r="J597" s="131" t="str">
        <f aca="false" t="array" ref="J597:J597">IF(A597="","",ifs(AND(D597=1,H597="Pagas prorrateadas"),2705.41*(F597*G597),AND(D597=1,H597="Pagas no prorrateadas"),2318.93*(F597*G597),AND(D597=2,H597="Pagas prorrateadas"),2246.07*(F597*G597),AND(D597=2,H597="Pagas no prorrateadas"),1925.21*(F597*G597),AND(D597=3,H597="Pagas prorrateadas"),1775.44*(F597*G597),AND(D597=3,H597="Pagas no prorrateadas"),1521.81*(F597*G597),AND(D597=5,H597="Pagas prorrateadas"),1535.9*(F597*G597),AND(D597=5,H597="Pagas no prorrateadas"),1316.49*(F597*G597),AND(D597=7,H597="Pagas prorrateadas"),1493.61*(F597*G597),AND(D597=7,H597="Pagas no prorrateadas"),1280.24*(F597*G597)))</f>
        <v/>
      </c>
      <c r="K597" s="106" t="str">
        <f aca="false">IF(A597="","",IF(J597-I597&gt;=0,"OK",J597-I597))</f>
        <v/>
      </c>
    </row>
    <row r="598" customFormat="false" ht="14.25" hidden="false" customHeight="true" outlineLevel="0" collapsed="false">
      <c r="A598" s="106"/>
      <c r="B598" s="106"/>
      <c r="C598" s="107"/>
      <c r="D598" s="106"/>
      <c r="E598" s="106"/>
      <c r="F598" s="130" t="str">
        <f aca="false">IF(A598="","",MIN(E598/(37.5),1))</f>
        <v/>
      </c>
      <c r="G598" s="108"/>
      <c r="H598" s="106"/>
      <c r="I598" s="107"/>
      <c r="J598" s="131" t="str">
        <f aca="false" t="array" ref="J598:J598">IF(A598="","",ifs(AND(D598=1,H598="Pagas prorrateadas"),2705.41*(F598*G598),AND(D598=1,H598="Pagas no prorrateadas"),2318.93*(F598*G598),AND(D598=2,H598="Pagas prorrateadas"),2246.07*(F598*G598),AND(D598=2,H598="Pagas no prorrateadas"),1925.21*(F598*G598),AND(D598=3,H598="Pagas prorrateadas"),1775.44*(F598*G598),AND(D598=3,H598="Pagas no prorrateadas"),1521.81*(F598*G598),AND(D598=5,H598="Pagas prorrateadas"),1535.9*(F598*G598),AND(D598=5,H598="Pagas no prorrateadas"),1316.49*(F598*G598),AND(D598=7,H598="Pagas prorrateadas"),1493.61*(F598*G598),AND(D598=7,H598="Pagas no prorrateadas"),1280.24*(F598*G598)))</f>
        <v/>
      </c>
      <c r="K598" s="106" t="str">
        <f aca="false">IF(A598="","",IF(J598-I598&gt;=0,"OK",J598-I598))</f>
        <v/>
      </c>
    </row>
    <row r="599" customFormat="false" ht="14.25" hidden="false" customHeight="true" outlineLevel="0" collapsed="false">
      <c r="A599" s="106"/>
      <c r="B599" s="106"/>
      <c r="C599" s="107"/>
      <c r="D599" s="106"/>
      <c r="E599" s="106"/>
      <c r="F599" s="130" t="str">
        <f aca="false">IF(A599="","",MIN(E599/(37.5),1))</f>
        <v/>
      </c>
      <c r="G599" s="108"/>
      <c r="H599" s="106"/>
      <c r="I599" s="107"/>
      <c r="J599" s="131" t="str">
        <f aca="false" t="array" ref="J599:J599">IF(A599="","",ifs(AND(D599=1,H599="Pagas prorrateadas"),2705.41*(F599*G599),AND(D599=1,H599="Pagas no prorrateadas"),2318.93*(F599*G599),AND(D599=2,H599="Pagas prorrateadas"),2246.07*(F599*G599),AND(D599=2,H599="Pagas no prorrateadas"),1925.21*(F599*G599),AND(D599=3,H599="Pagas prorrateadas"),1775.44*(F599*G599),AND(D599=3,H599="Pagas no prorrateadas"),1521.81*(F599*G599),AND(D599=5,H599="Pagas prorrateadas"),1535.9*(F599*G599),AND(D599=5,H599="Pagas no prorrateadas"),1316.49*(F599*G599),AND(D599=7,H599="Pagas prorrateadas"),1493.61*(F599*G599),AND(D599=7,H599="Pagas no prorrateadas"),1280.24*(F599*G599)))</f>
        <v/>
      </c>
      <c r="K599" s="106" t="str">
        <f aca="false">IF(A599="","",IF(J599-I599&gt;=0,"OK",J599-I599))</f>
        <v/>
      </c>
    </row>
    <row r="600" customFormat="false" ht="14.25" hidden="false" customHeight="true" outlineLevel="0" collapsed="false">
      <c r="A600" s="106"/>
      <c r="B600" s="106"/>
      <c r="C600" s="107"/>
      <c r="D600" s="106"/>
      <c r="E600" s="106"/>
      <c r="F600" s="130" t="str">
        <f aca="false">IF(A600="","",MIN(E600/(37.5),1))</f>
        <v/>
      </c>
      <c r="G600" s="108"/>
      <c r="H600" s="106"/>
      <c r="I600" s="107"/>
      <c r="J600" s="131" t="str">
        <f aca="false" t="array" ref="J600:J600">IF(A600="","",ifs(AND(D600=1,H600="Pagas prorrateadas"),2705.41*(F600*G600),AND(D600=1,H600="Pagas no prorrateadas"),2318.93*(F600*G600),AND(D600=2,H600="Pagas prorrateadas"),2246.07*(F600*G600),AND(D600=2,H600="Pagas no prorrateadas"),1925.21*(F600*G600),AND(D600=3,H600="Pagas prorrateadas"),1775.44*(F600*G600),AND(D600=3,H600="Pagas no prorrateadas"),1521.81*(F600*G600),AND(D600=5,H600="Pagas prorrateadas"),1535.9*(F600*G600),AND(D600=5,H600="Pagas no prorrateadas"),1316.49*(F600*G600),AND(D600=7,H600="Pagas prorrateadas"),1493.61*(F600*G600),AND(D600=7,H600="Pagas no prorrateadas"),1280.24*(F600*G600)))</f>
        <v/>
      </c>
      <c r="K600" s="106" t="str">
        <f aca="false">IF(A600="","",IF(J600-I600&gt;=0,"OK",J600-I600))</f>
        <v/>
      </c>
    </row>
    <row r="601" customFormat="false" ht="14.25" hidden="false" customHeight="true" outlineLevel="0" collapsed="false">
      <c r="A601" s="106"/>
      <c r="B601" s="106"/>
      <c r="C601" s="107"/>
      <c r="D601" s="106"/>
      <c r="E601" s="106"/>
      <c r="F601" s="130" t="str">
        <f aca="false">IF(A601="","",MIN(E601/(37.5),1))</f>
        <v/>
      </c>
      <c r="G601" s="108"/>
      <c r="H601" s="106"/>
      <c r="I601" s="107"/>
      <c r="J601" s="131" t="str">
        <f aca="false" t="array" ref="J601:J601">IF(A601="","",ifs(AND(D601=1,H601="Pagas prorrateadas"),2705.41*(F601*G601),AND(D601=1,H601="Pagas no prorrateadas"),2318.93*(F601*G601),AND(D601=2,H601="Pagas prorrateadas"),2246.07*(F601*G601),AND(D601=2,H601="Pagas no prorrateadas"),1925.21*(F601*G601),AND(D601=3,H601="Pagas prorrateadas"),1775.44*(F601*G601),AND(D601=3,H601="Pagas no prorrateadas"),1521.81*(F601*G601),AND(D601=5,H601="Pagas prorrateadas"),1535.9*(F601*G601),AND(D601=5,H601="Pagas no prorrateadas"),1316.49*(F601*G601),AND(D601=7,H601="Pagas prorrateadas"),1493.61*(F601*G601),AND(D601=7,H601="Pagas no prorrateadas"),1280.24*(F601*G601)))</f>
        <v/>
      </c>
      <c r="K601" s="106" t="str">
        <f aca="false">IF(A601="","",IF(J601-I601&gt;=0,"OK",J601-I601))</f>
        <v/>
      </c>
    </row>
    <row r="602" customFormat="false" ht="14.25" hidden="false" customHeight="true" outlineLevel="0" collapsed="false">
      <c r="A602" s="106"/>
      <c r="B602" s="106"/>
      <c r="C602" s="107"/>
      <c r="D602" s="106"/>
      <c r="E602" s="106"/>
      <c r="F602" s="130" t="str">
        <f aca="false">IF(A602="","",MIN(E602/(37.5),1))</f>
        <v/>
      </c>
      <c r="G602" s="108"/>
      <c r="H602" s="106"/>
      <c r="I602" s="107"/>
      <c r="J602" s="131" t="str">
        <f aca="false" t="array" ref="J602:J602">IF(A602="","",ifs(AND(D602=1,H602="Pagas prorrateadas"),2705.41*(F602*G602),AND(D602=1,H602="Pagas no prorrateadas"),2318.93*(F602*G602),AND(D602=2,H602="Pagas prorrateadas"),2246.07*(F602*G602),AND(D602=2,H602="Pagas no prorrateadas"),1925.21*(F602*G602),AND(D602=3,H602="Pagas prorrateadas"),1775.44*(F602*G602),AND(D602=3,H602="Pagas no prorrateadas"),1521.81*(F602*G602),AND(D602=5,H602="Pagas prorrateadas"),1535.9*(F602*G602),AND(D602=5,H602="Pagas no prorrateadas"),1316.49*(F602*G602),AND(D602=7,H602="Pagas prorrateadas"),1493.61*(F602*G602),AND(D602=7,H602="Pagas no prorrateadas"),1280.24*(F602*G602)))</f>
        <v/>
      </c>
      <c r="K602" s="106" t="str">
        <f aca="false">IF(A602="","",IF(J602-I602&gt;=0,"OK",J602-I602))</f>
        <v/>
      </c>
    </row>
    <row r="603" customFormat="false" ht="14.25" hidden="false" customHeight="true" outlineLevel="0" collapsed="false">
      <c r="A603" s="106"/>
      <c r="B603" s="106"/>
      <c r="C603" s="107"/>
      <c r="D603" s="106"/>
      <c r="E603" s="106"/>
      <c r="F603" s="130" t="str">
        <f aca="false">IF(A603="","",MIN(E603/(37.5),1))</f>
        <v/>
      </c>
      <c r="G603" s="108"/>
      <c r="H603" s="106"/>
      <c r="I603" s="107"/>
      <c r="J603" s="131" t="str">
        <f aca="false" t="array" ref="J603:J603">IF(A603="","",ifs(AND(D603=1,H603="Pagas prorrateadas"),2705.41*(F603*G603),AND(D603=1,H603="Pagas no prorrateadas"),2318.93*(F603*G603),AND(D603=2,H603="Pagas prorrateadas"),2246.07*(F603*G603),AND(D603=2,H603="Pagas no prorrateadas"),1925.21*(F603*G603),AND(D603=3,H603="Pagas prorrateadas"),1775.44*(F603*G603),AND(D603=3,H603="Pagas no prorrateadas"),1521.81*(F603*G603),AND(D603=5,H603="Pagas prorrateadas"),1535.9*(F603*G603),AND(D603=5,H603="Pagas no prorrateadas"),1316.49*(F603*G603),AND(D603=7,H603="Pagas prorrateadas"),1493.61*(F603*G603),AND(D603=7,H603="Pagas no prorrateadas"),1280.24*(F603*G603)))</f>
        <v/>
      </c>
      <c r="K603" s="106" t="str">
        <f aca="false">IF(A603="","",IF(J603-I603&gt;=0,"OK",J603-I603))</f>
        <v/>
      </c>
    </row>
    <row r="604" customFormat="false" ht="14.25" hidden="false" customHeight="true" outlineLevel="0" collapsed="false">
      <c r="A604" s="106"/>
      <c r="B604" s="106"/>
      <c r="C604" s="107"/>
      <c r="D604" s="106"/>
      <c r="E604" s="106"/>
      <c r="F604" s="130" t="str">
        <f aca="false">IF(A604="","",MIN(E604/(37.5),1))</f>
        <v/>
      </c>
      <c r="G604" s="108"/>
      <c r="H604" s="106"/>
      <c r="I604" s="107"/>
      <c r="J604" s="131" t="str">
        <f aca="false" t="array" ref="J604:J604">IF(A604="","",ifs(AND(D604=1,H604="Pagas prorrateadas"),2705.41*(F604*G604),AND(D604=1,H604="Pagas no prorrateadas"),2318.93*(F604*G604),AND(D604=2,H604="Pagas prorrateadas"),2246.07*(F604*G604),AND(D604=2,H604="Pagas no prorrateadas"),1925.21*(F604*G604),AND(D604=3,H604="Pagas prorrateadas"),1775.44*(F604*G604),AND(D604=3,H604="Pagas no prorrateadas"),1521.81*(F604*G604),AND(D604=5,H604="Pagas prorrateadas"),1535.9*(F604*G604),AND(D604=5,H604="Pagas no prorrateadas"),1316.49*(F604*G604),AND(D604=7,H604="Pagas prorrateadas"),1493.61*(F604*G604),AND(D604=7,H604="Pagas no prorrateadas"),1280.24*(F604*G604)))</f>
        <v/>
      </c>
      <c r="K604" s="106" t="str">
        <f aca="false">IF(A604="","",IF(J604-I604&gt;=0,"OK",J604-I604))</f>
        <v/>
      </c>
    </row>
    <row r="605" customFormat="false" ht="14.25" hidden="false" customHeight="true" outlineLevel="0" collapsed="false">
      <c r="A605" s="106"/>
      <c r="B605" s="106"/>
      <c r="C605" s="107"/>
      <c r="D605" s="106"/>
      <c r="E605" s="106"/>
      <c r="F605" s="130" t="str">
        <f aca="false">IF(A605="","",MIN(E605/(37.5),1))</f>
        <v/>
      </c>
      <c r="G605" s="108"/>
      <c r="H605" s="106"/>
      <c r="I605" s="107"/>
      <c r="J605" s="131" t="str">
        <f aca="false" t="array" ref="J605:J605">IF(A605="","",ifs(AND(D605=1,H605="Pagas prorrateadas"),2705.41*(F605*G605),AND(D605=1,H605="Pagas no prorrateadas"),2318.93*(F605*G605),AND(D605=2,H605="Pagas prorrateadas"),2246.07*(F605*G605),AND(D605=2,H605="Pagas no prorrateadas"),1925.21*(F605*G605),AND(D605=3,H605="Pagas prorrateadas"),1775.44*(F605*G605),AND(D605=3,H605="Pagas no prorrateadas"),1521.81*(F605*G605),AND(D605=5,H605="Pagas prorrateadas"),1535.9*(F605*G605),AND(D605=5,H605="Pagas no prorrateadas"),1316.49*(F605*G605),AND(D605=7,H605="Pagas prorrateadas"),1493.61*(F605*G605),AND(D605=7,H605="Pagas no prorrateadas"),1280.24*(F605*G605)))</f>
        <v/>
      </c>
      <c r="K605" s="106" t="str">
        <f aca="false">IF(A605="","",IF(J605-I605&gt;=0,"OK",J605-I605))</f>
        <v/>
      </c>
    </row>
    <row r="606" customFormat="false" ht="14.25" hidden="false" customHeight="true" outlineLevel="0" collapsed="false">
      <c r="A606" s="106"/>
      <c r="B606" s="106"/>
      <c r="C606" s="107"/>
      <c r="D606" s="106"/>
      <c r="E606" s="106"/>
      <c r="F606" s="130" t="str">
        <f aca="false">IF(A606="","",MIN(E606/(37.5),1))</f>
        <v/>
      </c>
      <c r="G606" s="108"/>
      <c r="H606" s="106"/>
      <c r="I606" s="107"/>
      <c r="J606" s="131" t="str">
        <f aca="false" t="array" ref="J606:J606">IF(A606="","",ifs(AND(D606=1,H606="Pagas prorrateadas"),2705.41*(F606*G606),AND(D606=1,H606="Pagas no prorrateadas"),2318.93*(F606*G606),AND(D606=2,H606="Pagas prorrateadas"),2246.07*(F606*G606),AND(D606=2,H606="Pagas no prorrateadas"),1925.21*(F606*G606),AND(D606=3,H606="Pagas prorrateadas"),1775.44*(F606*G606),AND(D606=3,H606="Pagas no prorrateadas"),1521.81*(F606*G606),AND(D606=5,H606="Pagas prorrateadas"),1535.9*(F606*G606),AND(D606=5,H606="Pagas no prorrateadas"),1316.49*(F606*G606),AND(D606=7,H606="Pagas prorrateadas"),1493.61*(F606*G606),AND(D606=7,H606="Pagas no prorrateadas"),1280.24*(F606*G606)))</f>
        <v/>
      </c>
      <c r="K606" s="106" t="str">
        <f aca="false">IF(A606="","",IF(J606-I606&gt;=0,"OK",J606-I606))</f>
        <v/>
      </c>
    </row>
    <row r="607" customFormat="false" ht="14.25" hidden="false" customHeight="true" outlineLevel="0" collapsed="false">
      <c r="A607" s="106"/>
      <c r="B607" s="106"/>
      <c r="C607" s="107"/>
      <c r="D607" s="106"/>
      <c r="E607" s="106"/>
      <c r="F607" s="130" t="str">
        <f aca="false">IF(A607="","",MIN(E607/(37.5),1))</f>
        <v/>
      </c>
      <c r="G607" s="108"/>
      <c r="H607" s="106"/>
      <c r="I607" s="107"/>
      <c r="J607" s="131" t="str">
        <f aca="false" t="array" ref="J607:J607">IF(A607="","",ifs(AND(D607=1,H607="Pagas prorrateadas"),2705.41*(F607*G607),AND(D607=1,H607="Pagas no prorrateadas"),2318.93*(F607*G607),AND(D607=2,H607="Pagas prorrateadas"),2246.07*(F607*G607),AND(D607=2,H607="Pagas no prorrateadas"),1925.21*(F607*G607),AND(D607=3,H607="Pagas prorrateadas"),1775.44*(F607*G607),AND(D607=3,H607="Pagas no prorrateadas"),1521.81*(F607*G607),AND(D607=5,H607="Pagas prorrateadas"),1535.9*(F607*G607),AND(D607=5,H607="Pagas no prorrateadas"),1316.49*(F607*G607),AND(D607=7,H607="Pagas prorrateadas"),1493.61*(F607*G607),AND(D607=7,H607="Pagas no prorrateadas"),1280.24*(F607*G607)))</f>
        <v/>
      </c>
      <c r="K607" s="106" t="str">
        <f aca="false">IF(A607="","",IF(J607-I607&gt;=0,"OK",J607-I607))</f>
        <v/>
      </c>
    </row>
    <row r="608" customFormat="false" ht="14.25" hidden="false" customHeight="true" outlineLevel="0" collapsed="false">
      <c r="A608" s="106"/>
      <c r="B608" s="106"/>
      <c r="C608" s="107"/>
      <c r="D608" s="106"/>
      <c r="E608" s="106"/>
      <c r="F608" s="130" t="str">
        <f aca="false">IF(A608="","",MIN(E608/(37.5),1))</f>
        <v/>
      </c>
      <c r="G608" s="108"/>
      <c r="H608" s="106"/>
      <c r="I608" s="107"/>
      <c r="J608" s="131" t="str">
        <f aca="false" t="array" ref="J608:J608">IF(A608="","",ifs(AND(D608=1,H608="Pagas prorrateadas"),2705.41*(F608*G608),AND(D608=1,H608="Pagas no prorrateadas"),2318.93*(F608*G608),AND(D608=2,H608="Pagas prorrateadas"),2246.07*(F608*G608),AND(D608=2,H608="Pagas no prorrateadas"),1925.21*(F608*G608),AND(D608=3,H608="Pagas prorrateadas"),1775.44*(F608*G608),AND(D608=3,H608="Pagas no prorrateadas"),1521.81*(F608*G608),AND(D608=5,H608="Pagas prorrateadas"),1535.9*(F608*G608),AND(D608=5,H608="Pagas no prorrateadas"),1316.49*(F608*G608),AND(D608=7,H608="Pagas prorrateadas"),1493.61*(F608*G608),AND(D608=7,H608="Pagas no prorrateadas"),1280.24*(F608*G608)))</f>
        <v/>
      </c>
      <c r="K608" s="106" t="str">
        <f aca="false">IF(A608="","",IF(J608-I608&gt;=0,"OK",J608-I608))</f>
        <v/>
      </c>
    </row>
    <row r="609" customFormat="false" ht="14.25" hidden="false" customHeight="true" outlineLevel="0" collapsed="false">
      <c r="A609" s="106"/>
      <c r="B609" s="106"/>
      <c r="C609" s="107"/>
      <c r="D609" s="106"/>
      <c r="E609" s="106"/>
      <c r="F609" s="130" t="str">
        <f aca="false">IF(A609="","",MIN(E609/(37.5),1))</f>
        <v/>
      </c>
      <c r="G609" s="108"/>
      <c r="H609" s="106"/>
      <c r="I609" s="107"/>
      <c r="J609" s="131" t="str">
        <f aca="false" t="array" ref="J609:J609">IF(A609="","",ifs(AND(D609=1,H609="Pagas prorrateadas"),2705.41*(F609*G609),AND(D609=1,H609="Pagas no prorrateadas"),2318.93*(F609*G609),AND(D609=2,H609="Pagas prorrateadas"),2246.07*(F609*G609),AND(D609=2,H609="Pagas no prorrateadas"),1925.21*(F609*G609),AND(D609=3,H609="Pagas prorrateadas"),1775.44*(F609*G609),AND(D609=3,H609="Pagas no prorrateadas"),1521.81*(F609*G609),AND(D609=5,H609="Pagas prorrateadas"),1535.9*(F609*G609),AND(D609=5,H609="Pagas no prorrateadas"),1316.49*(F609*G609),AND(D609=7,H609="Pagas prorrateadas"),1493.61*(F609*G609),AND(D609=7,H609="Pagas no prorrateadas"),1280.24*(F609*G609)))</f>
        <v/>
      </c>
      <c r="K609" s="106" t="str">
        <f aca="false">IF(A609="","",IF(J609-I609&gt;=0,"OK",J609-I609))</f>
        <v/>
      </c>
    </row>
    <row r="610" customFormat="false" ht="14.25" hidden="false" customHeight="true" outlineLevel="0" collapsed="false">
      <c r="A610" s="106"/>
      <c r="B610" s="106"/>
      <c r="C610" s="107"/>
      <c r="D610" s="106"/>
      <c r="E610" s="106"/>
      <c r="F610" s="130" t="str">
        <f aca="false">IF(A610="","",MIN(E610/(37.5),1))</f>
        <v/>
      </c>
      <c r="G610" s="108"/>
      <c r="H610" s="106"/>
      <c r="I610" s="107"/>
      <c r="J610" s="131" t="str">
        <f aca="false" t="array" ref="J610:J610">IF(A610="","",ifs(AND(D610=1,H610="Pagas prorrateadas"),2705.41*(F610*G610),AND(D610=1,H610="Pagas no prorrateadas"),2318.93*(F610*G610),AND(D610=2,H610="Pagas prorrateadas"),2246.07*(F610*G610),AND(D610=2,H610="Pagas no prorrateadas"),1925.21*(F610*G610),AND(D610=3,H610="Pagas prorrateadas"),1775.44*(F610*G610),AND(D610=3,H610="Pagas no prorrateadas"),1521.81*(F610*G610),AND(D610=5,H610="Pagas prorrateadas"),1535.9*(F610*G610),AND(D610=5,H610="Pagas no prorrateadas"),1316.49*(F610*G610),AND(D610=7,H610="Pagas prorrateadas"),1493.61*(F610*G610),AND(D610=7,H610="Pagas no prorrateadas"),1280.24*(F610*G610)))</f>
        <v/>
      </c>
      <c r="K610" s="106" t="str">
        <f aca="false">IF(A610="","",IF(J610-I610&gt;=0,"OK",J610-I610))</f>
        <v/>
      </c>
    </row>
    <row r="611" customFormat="false" ht="14.25" hidden="false" customHeight="true" outlineLevel="0" collapsed="false">
      <c r="A611" s="106"/>
      <c r="B611" s="106"/>
      <c r="C611" s="107"/>
      <c r="D611" s="106"/>
      <c r="E611" s="106"/>
      <c r="F611" s="130" t="str">
        <f aca="false">IF(A611="","",MIN(E611/(37.5),1))</f>
        <v/>
      </c>
      <c r="G611" s="108"/>
      <c r="H611" s="106"/>
      <c r="I611" s="107"/>
      <c r="J611" s="131" t="str">
        <f aca="false" t="array" ref="J611:J611">IF(A611="","",ifs(AND(D611=1,H611="Pagas prorrateadas"),2705.41*(F611*G611),AND(D611=1,H611="Pagas no prorrateadas"),2318.93*(F611*G611),AND(D611=2,H611="Pagas prorrateadas"),2246.07*(F611*G611),AND(D611=2,H611="Pagas no prorrateadas"),1925.21*(F611*G611),AND(D611=3,H611="Pagas prorrateadas"),1775.44*(F611*G611),AND(D611=3,H611="Pagas no prorrateadas"),1521.81*(F611*G611),AND(D611=5,H611="Pagas prorrateadas"),1535.9*(F611*G611),AND(D611=5,H611="Pagas no prorrateadas"),1316.49*(F611*G611),AND(D611=7,H611="Pagas prorrateadas"),1493.61*(F611*G611),AND(D611=7,H611="Pagas no prorrateadas"),1280.24*(F611*G611)))</f>
        <v/>
      </c>
      <c r="K611" s="106" t="str">
        <f aca="false">IF(A611="","",IF(J611-I611&gt;=0,"OK",J611-I611))</f>
        <v/>
      </c>
    </row>
    <row r="612" customFormat="false" ht="14.25" hidden="false" customHeight="true" outlineLevel="0" collapsed="false">
      <c r="A612" s="106"/>
      <c r="B612" s="106"/>
      <c r="C612" s="107"/>
      <c r="D612" s="106"/>
      <c r="E612" s="106"/>
      <c r="F612" s="130" t="str">
        <f aca="false">IF(A612="","",MIN(E612/(37.5),1))</f>
        <v/>
      </c>
      <c r="G612" s="108"/>
      <c r="H612" s="106"/>
      <c r="I612" s="107"/>
      <c r="J612" s="131" t="str">
        <f aca="false" t="array" ref="J612:J612">IF(A612="","",ifs(AND(D612=1,H612="Pagas prorrateadas"),2705.41*(F612*G612),AND(D612=1,H612="Pagas no prorrateadas"),2318.93*(F612*G612),AND(D612=2,H612="Pagas prorrateadas"),2246.07*(F612*G612),AND(D612=2,H612="Pagas no prorrateadas"),1925.21*(F612*G612),AND(D612=3,H612="Pagas prorrateadas"),1775.44*(F612*G612),AND(D612=3,H612="Pagas no prorrateadas"),1521.81*(F612*G612),AND(D612=5,H612="Pagas prorrateadas"),1535.9*(F612*G612),AND(D612=5,H612="Pagas no prorrateadas"),1316.49*(F612*G612),AND(D612=7,H612="Pagas prorrateadas"),1493.61*(F612*G612),AND(D612=7,H612="Pagas no prorrateadas"),1280.24*(F612*G612)))</f>
        <v/>
      </c>
      <c r="K612" s="106" t="str">
        <f aca="false">IF(A612="","",IF(J612-I612&gt;=0,"OK",J612-I612))</f>
        <v/>
      </c>
    </row>
    <row r="613" customFormat="false" ht="14.25" hidden="false" customHeight="true" outlineLevel="0" collapsed="false">
      <c r="A613" s="106"/>
      <c r="B613" s="106"/>
      <c r="C613" s="107"/>
      <c r="D613" s="106"/>
      <c r="E613" s="106"/>
      <c r="F613" s="130" t="str">
        <f aca="false">IF(A613="","",MIN(E613/(37.5),1))</f>
        <v/>
      </c>
      <c r="G613" s="108"/>
      <c r="H613" s="106"/>
      <c r="I613" s="107"/>
      <c r="J613" s="131" t="str">
        <f aca="false" t="array" ref="J613:J613">IF(A613="","",ifs(AND(D613=1,H613="Pagas prorrateadas"),2705.41*(F613*G613),AND(D613=1,H613="Pagas no prorrateadas"),2318.93*(F613*G613),AND(D613=2,H613="Pagas prorrateadas"),2246.07*(F613*G613),AND(D613=2,H613="Pagas no prorrateadas"),1925.21*(F613*G613),AND(D613=3,H613="Pagas prorrateadas"),1775.44*(F613*G613),AND(D613=3,H613="Pagas no prorrateadas"),1521.81*(F613*G613),AND(D613=5,H613="Pagas prorrateadas"),1535.9*(F613*G613),AND(D613=5,H613="Pagas no prorrateadas"),1316.49*(F613*G613),AND(D613=7,H613="Pagas prorrateadas"),1493.61*(F613*G613),AND(D613=7,H613="Pagas no prorrateadas"),1280.24*(F613*G613)))</f>
        <v/>
      </c>
      <c r="K613" s="106" t="str">
        <f aca="false">IF(A613="","",IF(J613-I613&gt;=0,"OK",J613-I613))</f>
        <v/>
      </c>
    </row>
    <row r="614" customFormat="false" ht="14.25" hidden="false" customHeight="true" outlineLevel="0" collapsed="false">
      <c r="A614" s="106"/>
      <c r="B614" s="106"/>
      <c r="C614" s="107"/>
      <c r="D614" s="106"/>
      <c r="E614" s="106"/>
      <c r="F614" s="130" t="str">
        <f aca="false">IF(A614="","",MIN(E614/(37.5),1))</f>
        <v/>
      </c>
      <c r="G614" s="108"/>
      <c r="H614" s="106"/>
      <c r="I614" s="107"/>
      <c r="J614" s="131" t="str">
        <f aca="false" t="array" ref="J614:J614">IF(A614="","",ifs(AND(D614=1,H614="Pagas prorrateadas"),2705.41*(F614*G614),AND(D614=1,H614="Pagas no prorrateadas"),2318.93*(F614*G614),AND(D614=2,H614="Pagas prorrateadas"),2246.07*(F614*G614),AND(D614=2,H614="Pagas no prorrateadas"),1925.21*(F614*G614),AND(D614=3,H614="Pagas prorrateadas"),1775.44*(F614*G614),AND(D614=3,H614="Pagas no prorrateadas"),1521.81*(F614*G614),AND(D614=5,H614="Pagas prorrateadas"),1535.9*(F614*G614),AND(D614=5,H614="Pagas no prorrateadas"),1316.49*(F614*G614),AND(D614=7,H614="Pagas prorrateadas"),1493.61*(F614*G614),AND(D614=7,H614="Pagas no prorrateadas"),1280.24*(F614*G614)))</f>
        <v/>
      </c>
      <c r="K614" s="106" t="str">
        <f aca="false">IF(A614="","",IF(J614-I614&gt;=0,"OK",J614-I614))</f>
        <v/>
      </c>
    </row>
    <row r="615" customFormat="false" ht="14.25" hidden="false" customHeight="true" outlineLevel="0" collapsed="false">
      <c r="A615" s="106"/>
      <c r="B615" s="106"/>
      <c r="C615" s="107"/>
      <c r="D615" s="106"/>
      <c r="E615" s="106"/>
      <c r="F615" s="130" t="str">
        <f aca="false">IF(A615="","",MIN(E615/(37.5),1))</f>
        <v/>
      </c>
      <c r="G615" s="108"/>
      <c r="H615" s="106"/>
      <c r="I615" s="107"/>
      <c r="J615" s="131" t="str">
        <f aca="false" t="array" ref="J615:J615">IF(A615="","",ifs(AND(D615=1,H615="Pagas prorrateadas"),2705.41*(F615*G615),AND(D615=1,H615="Pagas no prorrateadas"),2318.93*(F615*G615),AND(D615=2,H615="Pagas prorrateadas"),2246.07*(F615*G615),AND(D615=2,H615="Pagas no prorrateadas"),1925.21*(F615*G615),AND(D615=3,H615="Pagas prorrateadas"),1775.44*(F615*G615),AND(D615=3,H615="Pagas no prorrateadas"),1521.81*(F615*G615),AND(D615=5,H615="Pagas prorrateadas"),1535.9*(F615*G615),AND(D615=5,H615="Pagas no prorrateadas"),1316.49*(F615*G615),AND(D615=7,H615="Pagas prorrateadas"),1493.61*(F615*G615),AND(D615=7,H615="Pagas no prorrateadas"),1280.24*(F615*G615)))</f>
        <v/>
      </c>
      <c r="K615" s="106" t="str">
        <f aca="false">IF(A615="","",IF(J615-I615&gt;=0,"OK",J615-I615))</f>
        <v/>
      </c>
    </row>
    <row r="616" customFormat="false" ht="14.25" hidden="false" customHeight="true" outlineLevel="0" collapsed="false">
      <c r="A616" s="106"/>
      <c r="B616" s="106"/>
      <c r="C616" s="107"/>
      <c r="D616" s="106"/>
      <c r="E616" s="106"/>
      <c r="F616" s="130" t="str">
        <f aca="false">IF(A616="","",MIN(E616/(37.5),1))</f>
        <v/>
      </c>
      <c r="G616" s="108"/>
      <c r="H616" s="106"/>
      <c r="I616" s="107"/>
      <c r="J616" s="131" t="str">
        <f aca="false" t="array" ref="J616:J616">IF(A616="","",ifs(AND(D616=1,H616="Pagas prorrateadas"),2705.41*(F616*G616),AND(D616=1,H616="Pagas no prorrateadas"),2318.93*(F616*G616),AND(D616=2,H616="Pagas prorrateadas"),2246.07*(F616*G616),AND(D616=2,H616="Pagas no prorrateadas"),1925.21*(F616*G616),AND(D616=3,H616="Pagas prorrateadas"),1775.44*(F616*G616),AND(D616=3,H616="Pagas no prorrateadas"),1521.81*(F616*G616),AND(D616=5,H616="Pagas prorrateadas"),1535.9*(F616*G616),AND(D616=5,H616="Pagas no prorrateadas"),1316.49*(F616*G616),AND(D616=7,H616="Pagas prorrateadas"),1493.61*(F616*G616),AND(D616=7,H616="Pagas no prorrateadas"),1280.24*(F616*G616)))</f>
        <v/>
      </c>
      <c r="K616" s="106" t="str">
        <f aca="false">IF(A616="","",IF(J616-I616&gt;=0,"OK",J616-I616))</f>
        <v/>
      </c>
    </row>
    <row r="617" customFormat="false" ht="14.25" hidden="false" customHeight="true" outlineLevel="0" collapsed="false">
      <c r="A617" s="106"/>
      <c r="B617" s="106"/>
      <c r="C617" s="107"/>
      <c r="D617" s="106"/>
      <c r="E617" s="106"/>
      <c r="F617" s="130" t="str">
        <f aca="false">IF(A617="","",MIN(E617/(37.5),1))</f>
        <v/>
      </c>
      <c r="G617" s="108"/>
      <c r="H617" s="106"/>
      <c r="I617" s="107"/>
      <c r="J617" s="131" t="str">
        <f aca="false" t="array" ref="J617:J617">IF(A617="","",ifs(AND(D617=1,H617="Pagas prorrateadas"),2705.41*(F617*G617),AND(D617=1,H617="Pagas no prorrateadas"),2318.93*(F617*G617),AND(D617=2,H617="Pagas prorrateadas"),2246.07*(F617*G617),AND(D617=2,H617="Pagas no prorrateadas"),1925.21*(F617*G617),AND(D617=3,H617="Pagas prorrateadas"),1775.44*(F617*G617),AND(D617=3,H617="Pagas no prorrateadas"),1521.81*(F617*G617),AND(D617=5,H617="Pagas prorrateadas"),1535.9*(F617*G617),AND(D617=5,H617="Pagas no prorrateadas"),1316.49*(F617*G617),AND(D617=7,H617="Pagas prorrateadas"),1493.61*(F617*G617),AND(D617=7,H617="Pagas no prorrateadas"),1280.24*(F617*G617)))</f>
        <v/>
      </c>
      <c r="K617" s="106" t="str">
        <f aca="false">IF(A617="","",IF(J617-I617&gt;=0,"OK",J617-I617))</f>
        <v/>
      </c>
    </row>
    <row r="618" customFormat="false" ht="14.25" hidden="false" customHeight="true" outlineLevel="0" collapsed="false">
      <c r="A618" s="106"/>
      <c r="B618" s="106"/>
      <c r="C618" s="107"/>
      <c r="D618" s="106"/>
      <c r="E618" s="106"/>
      <c r="F618" s="130" t="str">
        <f aca="false">IF(A618="","",MIN(E618/(37.5),1))</f>
        <v/>
      </c>
      <c r="G618" s="108"/>
      <c r="H618" s="106"/>
      <c r="I618" s="107"/>
      <c r="J618" s="131" t="str">
        <f aca="false" t="array" ref="J618:J618">IF(A618="","",ifs(AND(D618=1,H618="Pagas prorrateadas"),2705.41*(F618*G618),AND(D618=1,H618="Pagas no prorrateadas"),2318.93*(F618*G618),AND(D618=2,H618="Pagas prorrateadas"),2246.07*(F618*G618),AND(D618=2,H618="Pagas no prorrateadas"),1925.21*(F618*G618),AND(D618=3,H618="Pagas prorrateadas"),1775.44*(F618*G618),AND(D618=3,H618="Pagas no prorrateadas"),1521.81*(F618*G618),AND(D618=5,H618="Pagas prorrateadas"),1535.9*(F618*G618),AND(D618=5,H618="Pagas no prorrateadas"),1316.49*(F618*G618),AND(D618=7,H618="Pagas prorrateadas"),1493.61*(F618*G618),AND(D618=7,H618="Pagas no prorrateadas"),1280.24*(F618*G618)))</f>
        <v/>
      </c>
      <c r="K618" s="106" t="str">
        <f aca="false">IF(A618="","",IF(J618-I618&gt;=0,"OK",J618-I618))</f>
        <v/>
      </c>
    </row>
    <row r="619" customFormat="false" ht="14.25" hidden="false" customHeight="true" outlineLevel="0" collapsed="false">
      <c r="A619" s="106"/>
      <c r="B619" s="106"/>
      <c r="C619" s="107"/>
      <c r="D619" s="106"/>
      <c r="E619" s="106"/>
      <c r="F619" s="130" t="str">
        <f aca="false">IF(A619="","",MIN(E619/(37.5),1))</f>
        <v/>
      </c>
      <c r="G619" s="108"/>
      <c r="H619" s="106"/>
      <c r="I619" s="107"/>
      <c r="J619" s="131" t="str">
        <f aca="false" t="array" ref="J619:J619">IF(A619="","",ifs(AND(D619=1,H619="Pagas prorrateadas"),2705.41*(F619*G619),AND(D619=1,H619="Pagas no prorrateadas"),2318.93*(F619*G619),AND(D619=2,H619="Pagas prorrateadas"),2246.07*(F619*G619),AND(D619=2,H619="Pagas no prorrateadas"),1925.21*(F619*G619),AND(D619=3,H619="Pagas prorrateadas"),1775.44*(F619*G619),AND(D619=3,H619="Pagas no prorrateadas"),1521.81*(F619*G619),AND(D619=5,H619="Pagas prorrateadas"),1535.9*(F619*G619),AND(D619=5,H619="Pagas no prorrateadas"),1316.49*(F619*G619),AND(D619=7,H619="Pagas prorrateadas"),1493.61*(F619*G619),AND(D619=7,H619="Pagas no prorrateadas"),1280.24*(F619*G619)))</f>
        <v/>
      </c>
      <c r="K619" s="106" t="str">
        <f aca="false">IF(A619="","",IF(J619-I619&gt;=0,"OK",J619-I619))</f>
        <v/>
      </c>
    </row>
    <row r="620" customFormat="false" ht="14.25" hidden="false" customHeight="true" outlineLevel="0" collapsed="false">
      <c r="A620" s="106"/>
      <c r="B620" s="106"/>
      <c r="C620" s="107"/>
      <c r="D620" s="106"/>
      <c r="E620" s="106"/>
      <c r="F620" s="130" t="str">
        <f aca="false">IF(A620="","",MIN(E620/(37.5),1))</f>
        <v/>
      </c>
      <c r="G620" s="108"/>
      <c r="H620" s="106"/>
      <c r="I620" s="107"/>
      <c r="J620" s="131" t="str">
        <f aca="false" t="array" ref="J620:J620">IF(A620="","",ifs(AND(D620=1,H620="Pagas prorrateadas"),2705.41*(F620*G620),AND(D620=1,H620="Pagas no prorrateadas"),2318.93*(F620*G620),AND(D620=2,H620="Pagas prorrateadas"),2246.07*(F620*G620),AND(D620=2,H620="Pagas no prorrateadas"),1925.21*(F620*G620),AND(D620=3,H620="Pagas prorrateadas"),1775.44*(F620*G620),AND(D620=3,H620="Pagas no prorrateadas"),1521.81*(F620*G620),AND(D620=5,H620="Pagas prorrateadas"),1535.9*(F620*G620),AND(D620=5,H620="Pagas no prorrateadas"),1316.49*(F620*G620),AND(D620=7,H620="Pagas prorrateadas"),1493.61*(F620*G620),AND(D620=7,H620="Pagas no prorrateadas"),1280.24*(F620*G620)))</f>
        <v/>
      </c>
      <c r="K620" s="106" t="str">
        <f aca="false">IF(A620="","",IF(J620-I620&gt;=0,"OK",J620-I620))</f>
        <v/>
      </c>
    </row>
    <row r="621" customFormat="false" ht="14.25" hidden="false" customHeight="true" outlineLevel="0" collapsed="false">
      <c r="A621" s="106"/>
      <c r="B621" s="106"/>
      <c r="C621" s="107"/>
      <c r="D621" s="106"/>
      <c r="E621" s="106"/>
      <c r="F621" s="130" t="str">
        <f aca="false">IF(A621="","",MIN(E621/(37.5),1))</f>
        <v/>
      </c>
      <c r="G621" s="108"/>
      <c r="H621" s="106"/>
      <c r="I621" s="107"/>
      <c r="J621" s="131" t="str">
        <f aca="false" t="array" ref="J621:J621">IF(A621="","",ifs(AND(D621=1,H621="Pagas prorrateadas"),2705.41*(F621*G621),AND(D621=1,H621="Pagas no prorrateadas"),2318.93*(F621*G621),AND(D621=2,H621="Pagas prorrateadas"),2246.07*(F621*G621),AND(D621=2,H621="Pagas no prorrateadas"),1925.21*(F621*G621),AND(D621=3,H621="Pagas prorrateadas"),1775.44*(F621*G621),AND(D621=3,H621="Pagas no prorrateadas"),1521.81*(F621*G621),AND(D621=5,H621="Pagas prorrateadas"),1535.9*(F621*G621),AND(D621=5,H621="Pagas no prorrateadas"),1316.49*(F621*G621),AND(D621=7,H621="Pagas prorrateadas"),1493.61*(F621*G621),AND(D621=7,H621="Pagas no prorrateadas"),1280.24*(F621*G621)))</f>
        <v/>
      </c>
      <c r="K621" s="106" t="str">
        <f aca="false">IF(A621="","",IF(J621-I621&gt;=0,"OK",J621-I621))</f>
        <v/>
      </c>
    </row>
    <row r="622" customFormat="false" ht="14.25" hidden="false" customHeight="true" outlineLevel="0" collapsed="false">
      <c r="A622" s="106"/>
      <c r="B622" s="106"/>
      <c r="C622" s="107"/>
      <c r="D622" s="106"/>
      <c r="E622" s="106"/>
      <c r="F622" s="130" t="str">
        <f aca="false">IF(A622="","",MIN(E622/(37.5),1))</f>
        <v/>
      </c>
      <c r="G622" s="108"/>
      <c r="H622" s="106"/>
      <c r="I622" s="107"/>
      <c r="J622" s="131" t="str">
        <f aca="false" t="array" ref="J622:J622">IF(A622="","",ifs(AND(D622=1,H622="Pagas prorrateadas"),2705.41*(F622*G622),AND(D622=1,H622="Pagas no prorrateadas"),2318.93*(F622*G622),AND(D622=2,H622="Pagas prorrateadas"),2246.07*(F622*G622),AND(D622=2,H622="Pagas no prorrateadas"),1925.21*(F622*G622),AND(D622=3,H622="Pagas prorrateadas"),1775.44*(F622*G622),AND(D622=3,H622="Pagas no prorrateadas"),1521.81*(F622*G622),AND(D622=5,H622="Pagas prorrateadas"),1535.9*(F622*G622),AND(D622=5,H622="Pagas no prorrateadas"),1316.49*(F622*G622),AND(D622=7,H622="Pagas prorrateadas"),1493.61*(F622*G622),AND(D622=7,H622="Pagas no prorrateadas"),1280.24*(F622*G622)))</f>
        <v/>
      </c>
      <c r="K622" s="106" t="str">
        <f aca="false">IF(A622="","",IF(J622-I622&gt;=0,"OK",J622-I622))</f>
        <v/>
      </c>
    </row>
    <row r="623" customFormat="false" ht="14.25" hidden="false" customHeight="true" outlineLevel="0" collapsed="false">
      <c r="A623" s="106"/>
      <c r="B623" s="106"/>
      <c r="C623" s="107"/>
      <c r="D623" s="106"/>
      <c r="E623" s="106"/>
      <c r="F623" s="130" t="str">
        <f aca="false">IF(A623="","",MIN(E623/(37.5),1))</f>
        <v/>
      </c>
      <c r="G623" s="108"/>
      <c r="H623" s="106"/>
      <c r="I623" s="107"/>
      <c r="J623" s="131" t="str">
        <f aca="false" t="array" ref="J623:J623">IF(A623="","",ifs(AND(D623=1,H623="Pagas prorrateadas"),2705.41*(F623*G623),AND(D623=1,H623="Pagas no prorrateadas"),2318.93*(F623*G623),AND(D623=2,H623="Pagas prorrateadas"),2246.07*(F623*G623),AND(D623=2,H623="Pagas no prorrateadas"),1925.21*(F623*G623),AND(D623=3,H623="Pagas prorrateadas"),1775.44*(F623*G623),AND(D623=3,H623="Pagas no prorrateadas"),1521.81*(F623*G623),AND(D623=5,H623="Pagas prorrateadas"),1535.9*(F623*G623),AND(D623=5,H623="Pagas no prorrateadas"),1316.49*(F623*G623),AND(D623=7,H623="Pagas prorrateadas"),1493.61*(F623*G623),AND(D623=7,H623="Pagas no prorrateadas"),1280.24*(F623*G623)))</f>
        <v/>
      </c>
      <c r="K623" s="106" t="str">
        <f aca="false">IF(A623="","",IF(J623-I623&gt;=0,"OK",J623-I623))</f>
        <v/>
      </c>
    </row>
    <row r="624" customFormat="false" ht="14.25" hidden="false" customHeight="true" outlineLevel="0" collapsed="false">
      <c r="A624" s="106"/>
      <c r="B624" s="106"/>
      <c r="C624" s="107"/>
      <c r="D624" s="106"/>
      <c r="E624" s="106"/>
      <c r="F624" s="130" t="str">
        <f aca="false">IF(A624="","",MIN(E624/(37.5),1))</f>
        <v/>
      </c>
      <c r="G624" s="108"/>
      <c r="H624" s="106"/>
      <c r="I624" s="107"/>
      <c r="J624" s="131" t="str">
        <f aca="false" t="array" ref="J624:J624">IF(A624="","",ifs(AND(D624=1,H624="Pagas prorrateadas"),2705.41*(F624*G624),AND(D624=1,H624="Pagas no prorrateadas"),2318.93*(F624*G624),AND(D624=2,H624="Pagas prorrateadas"),2246.07*(F624*G624),AND(D624=2,H624="Pagas no prorrateadas"),1925.21*(F624*G624),AND(D624=3,H624="Pagas prorrateadas"),1775.44*(F624*G624),AND(D624=3,H624="Pagas no prorrateadas"),1521.81*(F624*G624),AND(D624=5,H624="Pagas prorrateadas"),1535.9*(F624*G624),AND(D624=5,H624="Pagas no prorrateadas"),1316.49*(F624*G624),AND(D624=7,H624="Pagas prorrateadas"),1493.61*(F624*G624),AND(D624=7,H624="Pagas no prorrateadas"),1280.24*(F624*G624)))</f>
        <v/>
      </c>
      <c r="K624" s="106" t="str">
        <f aca="false">IF(A624="","",IF(J624-I624&gt;=0,"OK",J624-I624))</f>
        <v/>
      </c>
    </row>
    <row r="625" customFormat="false" ht="14.25" hidden="false" customHeight="true" outlineLevel="0" collapsed="false">
      <c r="A625" s="106"/>
      <c r="B625" s="106"/>
      <c r="C625" s="107"/>
      <c r="D625" s="106"/>
      <c r="E625" s="106"/>
      <c r="F625" s="130" t="str">
        <f aca="false">IF(A625="","",MIN(E625/(37.5),1))</f>
        <v/>
      </c>
      <c r="G625" s="108"/>
      <c r="H625" s="106"/>
      <c r="I625" s="107"/>
      <c r="J625" s="131" t="str">
        <f aca="false" t="array" ref="J625:J625">IF(A625="","",ifs(AND(D625=1,H625="Pagas prorrateadas"),2705.41*(F625*G625),AND(D625=1,H625="Pagas no prorrateadas"),2318.93*(F625*G625),AND(D625=2,H625="Pagas prorrateadas"),2246.07*(F625*G625),AND(D625=2,H625="Pagas no prorrateadas"),1925.21*(F625*G625),AND(D625=3,H625="Pagas prorrateadas"),1775.44*(F625*G625),AND(D625=3,H625="Pagas no prorrateadas"),1521.81*(F625*G625),AND(D625=5,H625="Pagas prorrateadas"),1535.9*(F625*G625),AND(D625=5,H625="Pagas no prorrateadas"),1316.49*(F625*G625),AND(D625=7,H625="Pagas prorrateadas"),1493.61*(F625*G625),AND(D625=7,H625="Pagas no prorrateadas"),1280.24*(F625*G625)))</f>
        <v/>
      </c>
      <c r="K625" s="106" t="str">
        <f aca="false">IF(A625="","",IF(J625-I625&gt;=0,"OK",J625-I625))</f>
        <v/>
      </c>
    </row>
    <row r="626" customFormat="false" ht="14.25" hidden="false" customHeight="true" outlineLevel="0" collapsed="false">
      <c r="A626" s="106"/>
      <c r="B626" s="106"/>
      <c r="C626" s="107"/>
      <c r="D626" s="106"/>
      <c r="E626" s="106"/>
      <c r="F626" s="130" t="str">
        <f aca="false">IF(A626="","",MIN(E626/(37.5),1))</f>
        <v/>
      </c>
      <c r="G626" s="108"/>
      <c r="H626" s="106"/>
      <c r="I626" s="107"/>
      <c r="J626" s="131" t="str">
        <f aca="false" t="array" ref="J626:J626">IF(A626="","",ifs(AND(D626=1,H626="Pagas prorrateadas"),2705.41*(F626*G626),AND(D626=1,H626="Pagas no prorrateadas"),2318.93*(F626*G626),AND(D626=2,H626="Pagas prorrateadas"),2246.07*(F626*G626),AND(D626=2,H626="Pagas no prorrateadas"),1925.21*(F626*G626),AND(D626=3,H626="Pagas prorrateadas"),1775.44*(F626*G626),AND(D626=3,H626="Pagas no prorrateadas"),1521.81*(F626*G626),AND(D626=5,H626="Pagas prorrateadas"),1535.9*(F626*G626),AND(D626=5,H626="Pagas no prorrateadas"),1316.49*(F626*G626),AND(D626=7,H626="Pagas prorrateadas"),1493.61*(F626*G626),AND(D626=7,H626="Pagas no prorrateadas"),1280.24*(F626*G626)))</f>
        <v/>
      </c>
      <c r="K626" s="106" t="str">
        <f aca="false">IF(A626="","",IF(J626-I626&gt;=0,"OK",J626-I626))</f>
        <v/>
      </c>
    </row>
    <row r="627" customFormat="false" ht="14.25" hidden="false" customHeight="true" outlineLevel="0" collapsed="false">
      <c r="A627" s="106"/>
      <c r="B627" s="106"/>
      <c r="C627" s="107"/>
      <c r="D627" s="106"/>
      <c r="E627" s="106"/>
      <c r="F627" s="130" t="str">
        <f aca="false">IF(A627="","",MIN(E627/(37.5),1))</f>
        <v/>
      </c>
      <c r="G627" s="108"/>
      <c r="H627" s="106"/>
      <c r="I627" s="107"/>
      <c r="J627" s="131" t="str">
        <f aca="false" t="array" ref="J627:J627">IF(A627="","",ifs(AND(D627=1,H627="Pagas prorrateadas"),2705.41*(F627*G627),AND(D627=1,H627="Pagas no prorrateadas"),2318.93*(F627*G627),AND(D627=2,H627="Pagas prorrateadas"),2246.07*(F627*G627),AND(D627=2,H627="Pagas no prorrateadas"),1925.21*(F627*G627),AND(D627=3,H627="Pagas prorrateadas"),1775.44*(F627*G627),AND(D627=3,H627="Pagas no prorrateadas"),1521.81*(F627*G627),AND(D627=5,H627="Pagas prorrateadas"),1535.9*(F627*G627),AND(D627=5,H627="Pagas no prorrateadas"),1316.49*(F627*G627),AND(D627=7,H627="Pagas prorrateadas"),1493.61*(F627*G627),AND(D627=7,H627="Pagas no prorrateadas"),1280.24*(F627*G627)))</f>
        <v/>
      </c>
      <c r="K627" s="106" t="str">
        <f aca="false">IF(A627="","",IF(J627-I627&gt;=0,"OK",J627-I627))</f>
        <v/>
      </c>
    </row>
    <row r="628" customFormat="false" ht="14.25" hidden="false" customHeight="true" outlineLevel="0" collapsed="false">
      <c r="A628" s="106"/>
      <c r="B628" s="106"/>
      <c r="C628" s="107"/>
      <c r="D628" s="106"/>
      <c r="E628" s="106"/>
      <c r="F628" s="130" t="str">
        <f aca="false">IF(A628="","",MIN(E628/(37.5),1))</f>
        <v/>
      </c>
      <c r="G628" s="108"/>
      <c r="H628" s="106"/>
      <c r="I628" s="107"/>
      <c r="J628" s="131" t="str">
        <f aca="false" t="array" ref="J628:J628">IF(A628="","",ifs(AND(D628=1,H628="Pagas prorrateadas"),2705.41*(F628*G628),AND(D628=1,H628="Pagas no prorrateadas"),2318.93*(F628*G628),AND(D628=2,H628="Pagas prorrateadas"),2246.07*(F628*G628),AND(D628=2,H628="Pagas no prorrateadas"),1925.21*(F628*G628),AND(D628=3,H628="Pagas prorrateadas"),1775.44*(F628*G628),AND(D628=3,H628="Pagas no prorrateadas"),1521.81*(F628*G628),AND(D628=5,H628="Pagas prorrateadas"),1535.9*(F628*G628),AND(D628=5,H628="Pagas no prorrateadas"),1316.49*(F628*G628),AND(D628=7,H628="Pagas prorrateadas"),1493.61*(F628*G628),AND(D628=7,H628="Pagas no prorrateadas"),1280.24*(F628*G628)))</f>
        <v/>
      </c>
      <c r="K628" s="106" t="str">
        <f aca="false">IF(A628="","",IF(J628-I628&gt;=0,"OK",J628-I628))</f>
        <v/>
      </c>
    </row>
    <row r="629" customFormat="false" ht="14.25" hidden="false" customHeight="true" outlineLevel="0" collapsed="false">
      <c r="A629" s="106"/>
      <c r="B629" s="106"/>
      <c r="C629" s="107"/>
      <c r="D629" s="106"/>
      <c r="E629" s="106"/>
      <c r="F629" s="130" t="str">
        <f aca="false">IF(A629="","",MIN(E629/(37.5),1))</f>
        <v/>
      </c>
      <c r="G629" s="108"/>
      <c r="H629" s="106"/>
      <c r="I629" s="107"/>
      <c r="J629" s="131" t="str">
        <f aca="false" t="array" ref="J629:J629">IF(A629="","",ifs(AND(D629=1,H629="Pagas prorrateadas"),2705.41*(F629*G629),AND(D629=1,H629="Pagas no prorrateadas"),2318.93*(F629*G629),AND(D629=2,H629="Pagas prorrateadas"),2246.07*(F629*G629),AND(D629=2,H629="Pagas no prorrateadas"),1925.21*(F629*G629),AND(D629=3,H629="Pagas prorrateadas"),1775.44*(F629*G629),AND(D629=3,H629="Pagas no prorrateadas"),1521.81*(F629*G629),AND(D629=5,H629="Pagas prorrateadas"),1535.9*(F629*G629),AND(D629=5,H629="Pagas no prorrateadas"),1316.49*(F629*G629),AND(D629=7,H629="Pagas prorrateadas"),1493.61*(F629*G629),AND(D629=7,H629="Pagas no prorrateadas"),1280.24*(F629*G629)))</f>
        <v/>
      </c>
      <c r="K629" s="106" t="str">
        <f aca="false">IF(A629="","",IF(J629-I629&gt;=0,"OK",J629-I629))</f>
        <v/>
      </c>
    </row>
    <row r="630" customFormat="false" ht="14.25" hidden="false" customHeight="true" outlineLevel="0" collapsed="false">
      <c r="A630" s="106"/>
      <c r="B630" s="106"/>
      <c r="C630" s="107"/>
      <c r="D630" s="106"/>
      <c r="E630" s="106"/>
      <c r="F630" s="130" t="str">
        <f aca="false">IF(A630="","",MIN(E630/(37.5),1))</f>
        <v/>
      </c>
      <c r="G630" s="108"/>
      <c r="H630" s="106"/>
      <c r="I630" s="107"/>
      <c r="J630" s="131" t="str">
        <f aca="false" t="array" ref="J630:J630">IF(A630="","",ifs(AND(D630=1,H630="Pagas prorrateadas"),2705.41*(F630*G630),AND(D630=1,H630="Pagas no prorrateadas"),2318.93*(F630*G630),AND(D630=2,H630="Pagas prorrateadas"),2246.07*(F630*G630),AND(D630=2,H630="Pagas no prorrateadas"),1925.21*(F630*G630),AND(D630=3,H630="Pagas prorrateadas"),1775.44*(F630*G630),AND(D630=3,H630="Pagas no prorrateadas"),1521.81*(F630*G630),AND(D630=5,H630="Pagas prorrateadas"),1535.9*(F630*G630),AND(D630=5,H630="Pagas no prorrateadas"),1316.49*(F630*G630),AND(D630=7,H630="Pagas prorrateadas"),1493.61*(F630*G630),AND(D630=7,H630="Pagas no prorrateadas"),1280.24*(F630*G630)))</f>
        <v/>
      </c>
      <c r="K630" s="106" t="str">
        <f aca="false">IF(A630="","",IF(J630-I630&gt;=0,"OK",J630-I630))</f>
        <v/>
      </c>
    </row>
    <row r="631" customFormat="false" ht="14.25" hidden="false" customHeight="true" outlineLevel="0" collapsed="false">
      <c r="A631" s="106"/>
      <c r="B631" s="106"/>
      <c r="C631" s="107"/>
      <c r="D631" s="106"/>
      <c r="E631" s="106"/>
      <c r="F631" s="130" t="str">
        <f aca="false">IF(A631="","",MIN(E631/(37.5),1))</f>
        <v/>
      </c>
      <c r="G631" s="108"/>
      <c r="H631" s="106"/>
      <c r="I631" s="107"/>
      <c r="J631" s="131" t="str">
        <f aca="false" t="array" ref="J631:J631">IF(A631="","",ifs(AND(D631=1,H631="Pagas prorrateadas"),2705.41*(F631*G631),AND(D631=1,H631="Pagas no prorrateadas"),2318.93*(F631*G631),AND(D631=2,H631="Pagas prorrateadas"),2246.07*(F631*G631),AND(D631=2,H631="Pagas no prorrateadas"),1925.21*(F631*G631),AND(D631=3,H631="Pagas prorrateadas"),1775.44*(F631*G631),AND(D631=3,H631="Pagas no prorrateadas"),1521.81*(F631*G631),AND(D631=5,H631="Pagas prorrateadas"),1535.9*(F631*G631),AND(D631=5,H631="Pagas no prorrateadas"),1316.49*(F631*G631),AND(D631=7,H631="Pagas prorrateadas"),1493.61*(F631*G631),AND(D631=7,H631="Pagas no prorrateadas"),1280.24*(F631*G631)))</f>
        <v/>
      </c>
      <c r="K631" s="106" t="str">
        <f aca="false">IF(A631="","",IF(J631-I631&gt;=0,"OK",J631-I631))</f>
        <v/>
      </c>
    </row>
    <row r="632" customFormat="false" ht="14.25" hidden="false" customHeight="true" outlineLevel="0" collapsed="false">
      <c r="A632" s="106"/>
      <c r="B632" s="106"/>
      <c r="C632" s="107"/>
      <c r="D632" s="106"/>
      <c r="E632" s="106"/>
      <c r="F632" s="130" t="str">
        <f aca="false">IF(A632="","",MIN(E632/(37.5),1))</f>
        <v/>
      </c>
      <c r="G632" s="108"/>
      <c r="H632" s="106"/>
      <c r="I632" s="107"/>
      <c r="J632" s="131" t="str">
        <f aca="false" t="array" ref="J632:J632">IF(A632="","",ifs(AND(D632=1,H632="Pagas prorrateadas"),2705.41*(F632*G632),AND(D632=1,H632="Pagas no prorrateadas"),2318.93*(F632*G632),AND(D632=2,H632="Pagas prorrateadas"),2246.07*(F632*G632),AND(D632=2,H632="Pagas no prorrateadas"),1925.21*(F632*G632),AND(D632=3,H632="Pagas prorrateadas"),1775.44*(F632*G632),AND(D632=3,H632="Pagas no prorrateadas"),1521.81*(F632*G632),AND(D632=5,H632="Pagas prorrateadas"),1535.9*(F632*G632),AND(D632=5,H632="Pagas no prorrateadas"),1316.49*(F632*G632),AND(D632=7,H632="Pagas prorrateadas"),1493.61*(F632*G632),AND(D632=7,H632="Pagas no prorrateadas"),1280.24*(F632*G632)))</f>
        <v/>
      </c>
      <c r="K632" s="106" t="str">
        <f aca="false">IF(A632="","",IF(J632-I632&gt;=0,"OK",J632-I632))</f>
        <v/>
      </c>
    </row>
    <row r="633" customFormat="false" ht="14.25" hidden="false" customHeight="true" outlineLevel="0" collapsed="false">
      <c r="A633" s="106"/>
      <c r="B633" s="106"/>
      <c r="C633" s="107"/>
      <c r="D633" s="106"/>
      <c r="E633" s="106"/>
      <c r="F633" s="130" t="str">
        <f aca="false">IF(A633="","",MIN(E633/(37.5),1))</f>
        <v/>
      </c>
      <c r="G633" s="108"/>
      <c r="H633" s="106"/>
      <c r="I633" s="107"/>
      <c r="J633" s="131" t="str">
        <f aca="false" t="array" ref="J633:J633">IF(A633="","",ifs(AND(D633=1,H633="Pagas prorrateadas"),2705.41*(F633*G633),AND(D633=1,H633="Pagas no prorrateadas"),2318.93*(F633*G633),AND(D633=2,H633="Pagas prorrateadas"),2246.07*(F633*G633),AND(D633=2,H633="Pagas no prorrateadas"),1925.21*(F633*G633),AND(D633=3,H633="Pagas prorrateadas"),1775.44*(F633*G633),AND(D633=3,H633="Pagas no prorrateadas"),1521.81*(F633*G633),AND(D633=5,H633="Pagas prorrateadas"),1535.9*(F633*G633),AND(D633=5,H633="Pagas no prorrateadas"),1316.49*(F633*G633),AND(D633=7,H633="Pagas prorrateadas"),1493.61*(F633*G633),AND(D633=7,H633="Pagas no prorrateadas"),1280.24*(F633*G633)))</f>
        <v/>
      </c>
      <c r="K633" s="106" t="str">
        <f aca="false">IF(A633="","",IF(J633-I633&gt;=0,"OK",J633-I633))</f>
        <v/>
      </c>
    </row>
    <row r="634" customFormat="false" ht="14.25" hidden="false" customHeight="true" outlineLevel="0" collapsed="false">
      <c r="A634" s="106"/>
      <c r="B634" s="106"/>
      <c r="C634" s="107"/>
      <c r="D634" s="106"/>
      <c r="E634" s="106"/>
      <c r="F634" s="130" t="str">
        <f aca="false">IF(A634="","",MIN(E634/(37.5),1))</f>
        <v/>
      </c>
      <c r="G634" s="108"/>
      <c r="H634" s="106"/>
      <c r="I634" s="107"/>
      <c r="J634" s="131" t="str">
        <f aca="false" t="array" ref="J634:J634">IF(A634="","",ifs(AND(D634=1,H634="Pagas prorrateadas"),2705.41*(F634*G634),AND(D634=1,H634="Pagas no prorrateadas"),2318.93*(F634*G634),AND(D634=2,H634="Pagas prorrateadas"),2246.07*(F634*G634),AND(D634=2,H634="Pagas no prorrateadas"),1925.21*(F634*G634),AND(D634=3,H634="Pagas prorrateadas"),1775.44*(F634*G634),AND(D634=3,H634="Pagas no prorrateadas"),1521.81*(F634*G634),AND(D634=5,H634="Pagas prorrateadas"),1535.9*(F634*G634),AND(D634=5,H634="Pagas no prorrateadas"),1316.49*(F634*G634),AND(D634=7,H634="Pagas prorrateadas"),1493.61*(F634*G634),AND(D634=7,H634="Pagas no prorrateadas"),1280.24*(F634*G634)))</f>
        <v/>
      </c>
      <c r="K634" s="106" t="str">
        <f aca="false">IF(A634="","",IF(J634-I634&gt;=0,"OK",J634-I634))</f>
        <v/>
      </c>
    </row>
    <row r="635" customFormat="false" ht="14.25" hidden="false" customHeight="true" outlineLevel="0" collapsed="false">
      <c r="A635" s="106"/>
      <c r="B635" s="106"/>
      <c r="C635" s="107"/>
      <c r="D635" s="106"/>
      <c r="E635" s="106"/>
      <c r="F635" s="130" t="str">
        <f aca="false">IF(A635="","",MIN(E635/(37.5),1))</f>
        <v/>
      </c>
      <c r="G635" s="108"/>
      <c r="H635" s="106"/>
      <c r="I635" s="107"/>
      <c r="J635" s="131" t="str">
        <f aca="false" t="array" ref="J635:J635">IF(A635="","",ifs(AND(D635=1,H635="Pagas prorrateadas"),2705.41*(F635*G635),AND(D635=1,H635="Pagas no prorrateadas"),2318.93*(F635*G635),AND(D635=2,H635="Pagas prorrateadas"),2246.07*(F635*G635),AND(D635=2,H635="Pagas no prorrateadas"),1925.21*(F635*G635),AND(D635=3,H635="Pagas prorrateadas"),1775.44*(F635*G635),AND(D635=3,H635="Pagas no prorrateadas"),1521.81*(F635*G635),AND(D635=5,H635="Pagas prorrateadas"),1535.9*(F635*G635),AND(D635=5,H635="Pagas no prorrateadas"),1316.49*(F635*G635),AND(D635=7,H635="Pagas prorrateadas"),1493.61*(F635*G635),AND(D635=7,H635="Pagas no prorrateadas"),1280.24*(F635*G635)))</f>
        <v/>
      </c>
      <c r="K635" s="106" t="str">
        <f aca="false">IF(A635="","",IF(J635-I635&gt;=0,"OK",J635-I635))</f>
        <v/>
      </c>
    </row>
    <row r="636" customFormat="false" ht="14.25" hidden="false" customHeight="true" outlineLevel="0" collapsed="false">
      <c r="A636" s="106"/>
      <c r="B636" s="106"/>
      <c r="C636" s="107"/>
      <c r="D636" s="106"/>
      <c r="E636" s="106"/>
      <c r="F636" s="130" t="str">
        <f aca="false">IF(A636="","",MIN(E636/(37.5),1))</f>
        <v/>
      </c>
      <c r="G636" s="108"/>
      <c r="H636" s="106"/>
      <c r="I636" s="107"/>
      <c r="J636" s="131" t="str">
        <f aca="false" t="array" ref="J636:J636">IF(A636="","",ifs(AND(D636=1,H636="Pagas prorrateadas"),2705.41*(F636*G636),AND(D636=1,H636="Pagas no prorrateadas"),2318.93*(F636*G636),AND(D636=2,H636="Pagas prorrateadas"),2246.07*(F636*G636),AND(D636=2,H636="Pagas no prorrateadas"),1925.21*(F636*G636),AND(D636=3,H636="Pagas prorrateadas"),1775.44*(F636*G636),AND(D636=3,H636="Pagas no prorrateadas"),1521.81*(F636*G636),AND(D636=5,H636="Pagas prorrateadas"),1535.9*(F636*G636),AND(D636=5,H636="Pagas no prorrateadas"),1316.49*(F636*G636),AND(D636=7,H636="Pagas prorrateadas"),1493.61*(F636*G636),AND(D636=7,H636="Pagas no prorrateadas"),1280.24*(F636*G636)))</f>
        <v/>
      </c>
      <c r="K636" s="106" t="str">
        <f aca="false">IF(A636="","",IF(J636-I636&gt;=0,"OK",J636-I636))</f>
        <v/>
      </c>
    </row>
    <row r="637" customFormat="false" ht="14.25" hidden="false" customHeight="true" outlineLevel="0" collapsed="false">
      <c r="A637" s="106"/>
      <c r="B637" s="106"/>
      <c r="C637" s="107"/>
      <c r="D637" s="106"/>
      <c r="E637" s="106"/>
      <c r="F637" s="130" t="str">
        <f aca="false">IF(A637="","",MIN(E637/(37.5),1))</f>
        <v/>
      </c>
      <c r="G637" s="108"/>
      <c r="H637" s="106"/>
      <c r="I637" s="107"/>
      <c r="J637" s="131" t="str">
        <f aca="false" t="array" ref="J637:J637">IF(A637="","",ifs(AND(D637=1,H637="Pagas prorrateadas"),2705.41*(F637*G637),AND(D637=1,H637="Pagas no prorrateadas"),2318.93*(F637*G637),AND(D637=2,H637="Pagas prorrateadas"),2246.07*(F637*G637),AND(D637=2,H637="Pagas no prorrateadas"),1925.21*(F637*G637),AND(D637=3,H637="Pagas prorrateadas"),1775.44*(F637*G637),AND(D637=3,H637="Pagas no prorrateadas"),1521.81*(F637*G637),AND(D637=5,H637="Pagas prorrateadas"),1535.9*(F637*G637),AND(D637=5,H637="Pagas no prorrateadas"),1316.49*(F637*G637),AND(D637=7,H637="Pagas prorrateadas"),1493.61*(F637*G637),AND(D637=7,H637="Pagas no prorrateadas"),1280.24*(F637*G637)))</f>
        <v/>
      </c>
      <c r="K637" s="106" t="str">
        <f aca="false">IF(A637="","",IF(J637-I637&gt;=0,"OK",J637-I637))</f>
        <v/>
      </c>
    </row>
    <row r="638" customFormat="false" ht="14.25" hidden="false" customHeight="true" outlineLevel="0" collapsed="false">
      <c r="A638" s="106"/>
      <c r="B638" s="106"/>
      <c r="C638" s="107"/>
      <c r="D638" s="106"/>
      <c r="E638" s="106"/>
      <c r="F638" s="130" t="str">
        <f aca="false">IF(A638="","",MIN(E638/(37.5),1))</f>
        <v/>
      </c>
      <c r="G638" s="108"/>
      <c r="H638" s="106"/>
      <c r="I638" s="107"/>
      <c r="J638" s="131" t="str">
        <f aca="false" t="array" ref="J638:J638">IF(A638="","",ifs(AND(D638=1,H638="Pagas prorrateadas"),2705.41*(F638*G638),AND(D638=1,H638="Pagas no prorrateadas"),2318.93*(F638*G638),AND(D638=2,H638="Pagas prorrateadas"),2246.07*(F638*G638),AND(D638=2,H638="Pagas no prorrateadas"),1925.21*(F638*G638),AND(D638=3,H638="Pagas prorrateadas"),1775.44*(F638*G638),AND(D638=3,H638="Pagas no prorrateadas"),1521.81*(F638*G638),AND(D638=5,H638="Pagas prorrateadas"),1535.9*(F638*G638),AND(D638=5,H638="Pagas no prorrateadas"),1316.49*(F638*G638),AND(D638=7,H638="Pagas prorrateadas"),1493.61*(F638*G638),AND(D638=7,H638="Pagas no prorrateadas"),1280.24*(F638*G638)))</f>
        <v/>
      </c>
      <c r="K638" s="106" t="str">
        <f aca="false">IF(A638="","",IF(J638-I638&gt;=0,"OK",J638-I638))</f>
        <v/>
      </c>
    </row>
    <row r="639" customFormat="false" ht="14.25" hidden="false" customHeight="true" outlineLevel="0" collapsed="false">
      <c r="A639" s="106"/>
      <c r="B639" s="106"/>
      <c r="C639" s="107"/>
      <c r="D639" s="106"/>
      <c r="E639" s="106"/>
      <c r="F639" s="130" t="str">
        <f aca="false">IF(A639="","",MIN(E639/(37.5),1))</f>
        <v/>
      </c>
      <c r="G639" s="108"/>
      <c r="H639" s="106"/>
      <c r="I639" s="107"/>
      <c r="J639" s="131" t="str">
        <f aca="false" t="array" ref="J639:J639">IF(A639="","",ifs(AND(D639=1,H639="Pagas prorrateadas"),2705.41*(F639*G639),AND(D639=1,H639="Pagas no prorrateadas"),2318.93*(F639*G639),AND(D639=2,H639="Pagas prorrateadas"),2246.07*(F639*G639),AND(D639=2,H639="Pagas no prorrateadas"),1925.21*(F639*G639),AND(D639=3,H639="Pagas prorrateadas"),1775.44*(F639*G639),AND(D639=3,H639="Pagas no prorrateadas"),1521.81*(F639*G639),AND(D639=5,H639="Pagas prorrateadas"),1535.9*(F639*G639),AND(D639=5,H639="Pagas no prorrateadas"),1316.49*(F639*G639),AND(D639=7,H639="Pagas prorrateadas"),1493.61*(F639*G639),AND(D639=7,H639="Pagas no prorrateadas"),1280.24*(F639*G639)))</f>
        <v/>
      </c>
      <c r="K639" s="106" t="str">
        <f aca="false">IF(A639="","",IF(J639-I639&gt;=0,"OK",J639-I639))</f>
        <v/>
      </c>
    </row>
    <row r="640" customFormat="false" ht="14.25" hidden="false" customHeight="true" outlineLevel="0" collapsed="false">
      <c r="A640" s="106"/>
      <c r="B640" s="106"/>
      <c r="C640" s="107"/>
      <c r="D640" s="106"/>
      <c r="E640" s="106"/>
      <c r="F640" s="130" t="str">
        <f aca="false">IF(A640="","",MIN(E640/(37.5),1))</f>
        <v/>
      </c>
      <c r="G640" s="108"/>
      <c r="H640" s="106"/>
      <c r="I640" s="107"/>
      <c r="J640" s="131" t="str">
        <f aca="false" t="array" ref="J640:J640">IF(A640="","",ifs(AND(D640=1,H640="Pagas prorrateadas"),2705.41*(F640*G640),AND(D640=1,H640="Pagas no prorrateadas"),2318.93*(F640*G640),AND(D640=2,H640="Pagas prorrateadas"),2246.07*(F640*G640),AND(D640=2,H640="Pagas no prorrateadas"),1925.21*(F640*G640),AND(D640=3,H640="Pagas prorrateadas"),1775.44*(F640*G640),AND(D640=3,H640="Pagas no prorrateadas"),1521.81*(F640*G640),AND(D640=5,H640="Pagas prorrateadas"),1535.9*(F640*G640),AND(D640=5,H640="Pagas no prorrateadas"),1316.49*(F640*G640),AND(D640=7,H640="Pagas prorrateadas"),1493.61*(F640*G640),AND(D640=7,H640="Pagas no prorrateadas"),1280.24*(F640*G640)))</f>
        <v/>
      </c>
      <c r="K640" s="106" t="str">
        <f aca="false">IF(A640="","",IF(J640-I640&gt;=0,"OK",J640-I640))</f>
        <v/>
      </c>
    </row>
    <row r="641" customFormat="false" ht="14.25" hidden="false" customHeight="true" outlineLevel="0" collapsed="false">
      <c r="A641" s="106"/>
      <c r="B641" s="106"/>
      <c r="C641" s="107"/>
      <c r="D641" s="106"/>
      <c r="E641" s="106"/>
      <c r="F641" s="130" t="str">
        <f aca="false">IF(A641="","",MIN(E641/(37.5),1))</f>
        <v/>
      </c>
      <c r="G641" s="108"/>
      <c r="H641" s="106"/>
      <c r="I641" s="107"/>
      <c r="J641" s="131" t="str">
        <f aca="false" t="array" ref="J641:J641">IF(A641="","",ifs(AND(D641=1,H641="Pagas prorrateadas"),2705.41*(F641*G641),AND(D641=1,H641="Pagas no prorrateadas"),2318.93*(F641*G641),AND(D641=2,H641="Pagas prorrateadas"),2246.07*(F641*G641),AND(D641=2,H641="Pagas no prorrateadas"),1925.21*(F641*G641),AND(D641=3,H641="Pagas prorrateadas"),1775.44*(F641*G641),AND(D641=3,H641="Pagas no prorrateadas"),1521.81*(F641*G641),AND(D641=5,H641="Pagas prorrateadas"),1535.9*(F641*G641),AND(D641=5,H641="Pagas no prorrateadas"),1316.49*(F641*G641),AND(D641=7,H641="Pagas prorrateadas"),1493.61*(F641*G641),AND(D641=7,H641="Pagas no prorrateadas"),1280.24*(F641*G641)))</f>
        <v/>
      </c>
      <c r="K641" s="106" t="str">
        <f aca="false">IF(A641="","",IF(J641-I641&gt;=0,"OK",J641-I641))</f>
        <v/>
      </c>
    </row>
    <row r="642" customFormat="false" ht="14.25" hidden="false" customHeight="true" outlineLevel="0" collapsed="false">
      <c r="A642" s="106"/>
      <c r="B642" s="106"/>
      <c r="C642" s="107"/>
      <c r="D642" s="106"/>
      <c r="E642" s="106"/>
      <c r="F642" s="130" t="str">
        <f aca="false">IF(A642="","",MIN(E642/(37.5),1))</f>
        <v/>
      </c>
      <c r="G642" s="108"/>
      <c r="H642" s="106"/>
      <c r="I642" s="107"/>
      <c r="J642" s="131" t="str">
        <f aca="false" t="array" ref="J642:J642">IF(A642="","",ifs(AND(D642=1,H642="Pagas prorrateadas"),2705.41*(F642*G642),AND(D642=1,H642="Pagas no prorrateadas"),2318.93*(F642*G642),AND(D642=2,H642="Pagas prorrateadas"),2246.07*(F642*G642),AND(D642=2,H642="Pagas no prorrateadas"),1925.21*(F642*G642),AND(D642=3,H642="Pagas prorrateadas"),1775.44*(F642*G642),AND(D642=3,H642="Pagas no prorrateadas"),1521.81*(F642*G642),AND(D642=5,H642="Pagas prorrateadas"),1535.9*(F642*G642),AND(D642=5,H642="Pagas no prorrateadas"),1316.49*(F642*G642),AND(D642=7,H642="Pagas prorrateadas"),1493.61*(F642*G642),AND(D642=7,H642="Pagas no prorrateadas"),1280.24*(F642*G642)))</f>
        <v/>
      </c>
      <c r="K642" s="106" t="str">
        <f aca="false">IF(A642="","",IF(J642-I642&gt;=0,"OK",J642-I642))</f>
        <v/>
      </c>
    </row>
    <row r="643" customFormat="false" ht="14.25" hidden="false" customHeight="true" outlineLevel="0" collapsed="false">
      <c r="A643" s="106"/>
      <c r="B643" s="106"/>
      <c r="C643" s="107"/>
      <c r="D643" s="106"/>
      <c r="E643" s="106"/>
      <c r="F643" s="130" t="str">
        <f aca="false">IF(A643="","",MIN(E643/(37.5),1))</f>
        <v/>
      </c>
      <c r="G643" s="108"/>
      <c r="H643" s="106"/>
      <c r="I643" s="107"/>
      <c r="J643" s="131" t="str">
        <f aca="false" t="array" ref="J643:J643">IF(A643="","",ifs(AND(D643=1,H643="Pagas prorrateadas"),2705.41*(F643*G643),AND(D643=1,H643="Pagas no prorrateadas"),2318.93*(F643*G643),AND(D643=2,H643="Pagas prorrateadas"),2246.07*(F643*G643),AND(D643=2,H643="Pagas no prorrateadas"),1925.21*(F643*G643),AND(D643=3,H643="Pagas prorrateadas"),1775.44*(F643*G643),AND(D643=3,H643="Pagas no prorrateadas"),1521.81*(F643*G643),AND(D643=5,H643="Pagas prorrateadas"),1535.9*(F643*G643),AND(D643=5,H643="Pagas no prorrateadas"),1316.49*(F643*G643),AND(D643=7,H643="Pagas prorrateadas"),1493.61*(F643*G643),AND(D643=7,H643="Pagas no prorrateadas"),1280.24*(F643*G643)))</f>
        <v/>
      </c>
      <c r="K643" s="106" t="str">
        <f aca="false">IF(A643="","",IF(J643-I643&gt;=0,"OK",J643-I643))</f>
        <v/>
      </c>
    </row>
    <row r="644" customFormat="false" ht="14.25" hidden="false" customHeight="true" outlineLevel="0" collapsed="false">
      <c r="A644" s="106"/>
      <c r="B644" s="106"/>
      <c r="C644" s="107"/>
      <c r="D644" s="106"/>
      <c r="E644" s="106"/>
      <c r="F644" s="130" t="str">
        <f aca="false">IF(A644="","",MIN(E644/(37.5),1))</f>
        <v/>
      </c>
      <c r="G644" s="108"/>
      <c r="H644" s="106"/>
      <c r="I644" s="107"/>
      <c r="J644" s="131" t="str">
        <f aca="false" t="array" ref="J644:J644">IF(A644="","",ifs(AND(D644=1,H644="Pagas prorrateadas"),2705.41*(F644*G644),AND(D644=1,H644="Pagas no prorrateadas"),2318.93*(F644*G644),AND(D644=2,H644="Pagas prorrateadas"),2246.07*(F644*G644),AND(D644=2,H644="Pagas no prorrateadas"),1925.21*(F644*G644),AND(D644=3,H644="Pagas prorrateadas"),1775.44*(F644*G644),AND(D644=3,H644="Pagas no prorrateadas"),1521.81*(F644*G644),AND(D644=5,H644="Pagas prorrateadas"),1535.9*(F644*G644),AND(D644=5,H644="Pagas no prorrateadas"),1316.49*(F644*G644),AND(D644=7,H644="Pagas prorrateadas"),1493.61*(F644*G644),AND(D644=7,H644="Pagas no prorrateadas"),1280.24*(F644*G644)))</f>
        <v/>
      </c>
      <c r="K644" s="106" t="str">
        <f aca="false">IF(A644="","",IF(J644-I644&gt;=0,"OK",J644-I644))</f>
        <v/>
      </c>
    </row>
    <row r="645" customFormat="false" ht="14.25" hidden="false" customHeight="true" outlineLevel="0" collapsed="false">
      <c r="A645" s="106"/>
      <c r="B645" s="106"/>
      <c r="C645" s="107"/>
      <c r="D645" s="106"/>
      <c r="E645" s="106"/>
      <c r="F645" s="130" t="str">
        <f aca="false">IF(A645="","",MIN(E645/(37.5),1))</f>
        <v/>
      </c>
      <c r="G645" s="108"/>
      <c r="H645" s="106"/>
      <c r="I645" s="107"/>
      <c r="J645" s="131" t="str">
        <f aca="false" t="array" ref="J645:J645">IF(A645="","",ifs(AND(D645=1,H645="Pagas prorrateadas"),2705.41*(F645*G645),AND(D645=1,H645="Pagas no prorrateadas"),2318.93*(F645*G645),AND(D645=2,H645="Pagas prorrateadas"),2246.07*(F645*G645),AND(D645=2,H645="Pagas no prorrateadas"),1925.21*(F645*G645),AND(D645=3,H645="Pagas prorrateadas"),1775.44*(F645*G645),AND(D645=3,H645="Pagas no prorrateadas"),1521.81*(F645*G645),AND(D645=5,H645="Pagas prorrateadas"),1535.9*(F645*G645),AND(D645=5,H645="Pagas no prorrateadas"),1316.49*(F645*G645),AND(D645=7,H645="Pagas prorrateadas"),1493.61*(F645*G645),AND(D645=7,H645="Pagas no prorrateadas"),1280.24*(F645*G645)))</f>
        <v/>
      </c>
      <c r="K645" s="106" t="str">
        <f aca="false">IF(A645="","",IF(J645-I645&gt;=0,"OK",J645-I645))</f>
        <v/>
      </c>
    </row>
    <row r="646" customFormat="false" ht="14.25" hidden="false" customHeight="true" outlineLevel="0" collapsed="false">
      <c r="A646" s="106"/>
      <c r="B646" s="106"/>
      <c r="C646" s="107"/>
      <c r="D646" s="106"/>
      <c r="E646" s="106"/>
      <c r="F646" s="130" t="str">
        <f aca="false">IF(A646="","",MIN(E646/(37.5),1))</f>
        <v/>
      </c>
      <c r="G646" s="108"/>
      <c r="H646" s="106"/>
      <c r="I646" s="107"/>
      <c r="J646" s="131" t="str">
        <f aca="false" t="array" ref="J646:J646">IF(A646="","",ifs(AND(D646=1,H646="Pagas prorrateadas"),2705.41*(F646*G646),AND(D646=1,H646="Pagas no prorrateadas"),2318.93*(F646*G646),AND(D646=2,H646="Pagas prorrateadas"),2246.07*(F646*G646),AND(D646=2,H646="Pagas no prorrateadas"),1925.21*(F646*G646),AND(D646=3,H646="Pagas prorrateadas"),1775.44*(F646*G646),AND(D646=3,H646="Pagas no prorrateadas"),1521.81*(F646*G646),AND(D646=5,H646="Pagas prorrateadas"),1535.9*(F646*G646),AND(D646=5,H646="Pagas no prorrateadas"),1316.49*(F646*G646),AND(D646=7,H646="Pagas prorrateadas"),1493.61*(F646*G646),AND(D646=7,H646="Pagas no prorrateadas"),1280.24*(F646*G646)))</f>
        <v/>
      </c>
      <c r="K646" s="106" t="str">
        <f aca="false">IF(A646="","",IF(J646-I646&gt;=0,"OK",J646-I646))</f>
        <v/>
      </c>
    </row>
    <row r="647" customFormat="false" ht="14.25" hidden="false" customHeight="true" outlineLevel="0" collapsed="false">
      <c r="A647" s="106"/>
      <c r="B647" s="106"/>
      <c r="C647" s="107"/>
      <c r="D647" s="106"/>
      <c r="E647" s="106"/>
      <c r="F647" s="130" t="str">
        <f aca="false">IF(A647="","",MIN(E647/(37.5),1))</f>
        <v/>
      </c>
      <c r="G647" s="108"/>
      <c r="H647" s="106"/>
      <c r="I647" s="107"/>
      <c r="J647" s="131" t="str">
        <f aca="false" t="array" ref="J647:J647">IF(A647="","",ifs(AND(D647=1,H647="Pagas prorrateadas"),2705.41*(F647*G647),AND(D647=1,H647="Pagas no prorrateadas"),2318.93*(F647*G647),AND(D647=2,H647="Pagas prorrateadas"),2246.07*(F647*G647),AND(D647=2,H647="Pagas no prorrateadas"),1925.21*(F647*G647),AND(D647=3,H647="Pagas prorrateadas"),1775.44*(F647*G647),AND(D647=3,H647="Pagas no prorrateadas"),1521.81*(F647*G647),AND(D647=5,H647="Pagas prorrateadas"),1535.9*(F647*G647),AND(D647=5,H647="Pagas no prorrateadas"),1316.49*(F647*G647),AND(D647=7,H647="Pagas prorrateadas"),1493.61*(F647*G647),AND(D647=7,H647="Pagas no prorrateadas"),1280.24*(F647*G647)))</f>
        <v/>
      </c>
      <c r="K647" s="106" t="str">
        <f aca="false">IF(A647="","",IF(J647-I647&gt;=0,"OK",J647-I647))</f>
        <v/>
      </c>
    </row>
    <row r="648" customFormat="false" ht="14.25" hidden="false" customHeight="true" outlineLevel="0" collapsed="false">
      <c r="A648" s="106"/>
      <c r="B648" s="106"/>
      <c r="C648" s="107"/>
      <c r="D648" s="106"/>
      <c r="E648" s="106"/>
      <c r="F648" s="130" t="str">
        <f aca="false">IF(A648="","",MIN(E648/(37.5),1))</f>
        <v/>
      </c>
      <c r="G648" s="108"/>
      <c r="H648" s="106"/>
      <c r="I648" s="107"/>
      <c r="J648" s="131" t="str">
        <f aca="false" t="array" ref="J648:J648">IF(A648="","",ifs(AND(D648=1,H648="Pagas prorrateadas"),2705.41*(F648*G648),AND(D648=1,H648="Pagas no prorrateadas"),2318.93*(F648*G648),AND(D648=2,H648="Pagas prorrateadas"),2246.07*(F648*G648),AND(D648=2,H648="Pagas no prorrateadas"),1925.21*(F648*G648),AND(D648=3,H648="Pagas prorrateadas"),1775.44*(F648*G648),AND(D648=3,H648="Pagas no prorrateadas"),1521.81*(F648*G648),AND(D648=5,H648="Pagas prorrateadas"),1535.9*(F648*G648),AND(D648=5,H648="Pagas no prorrateadas"),1316.49*(F648*G648),AND(D648=7,H648="Pagas prorrateadas"),1493.61*(F648*G648),AND(D648=7,H648="Pagas no prorrateadas"),1280.24*(F648*G648)))</f>
        <v/>
      </c>
      <c r="K648" s="106" t="str">
        <f aca="false">IF(A648="","",IF(J648-I648&gt;=0,"OK",J648-I648))</f>
        <v/>
      </c>
    </row>
    <row r="649" customFormat="false" ht="14.25" hidden="false" customHeight="true" outlineLevel="0" collapsed="false">
      <c r="A649" s="106"/>
      <c r="B649" s="106"/>
      <c r="C649" s="107"/>
      <c r="D649" s="106"/>
      <c r="E649" s="106"/>
      <c r="F649" s="130" t="str">
        <f aca="false">IF(A649="","",MIN(E649/(37.5),1))</f>
        <v/>
      </c>
      <c r="G649" s="108"/>
      <c r="H649" s="106"/>
      <c r="I649" s="107"/>
      <c r="J649" s="131" t="str">
        <f aca="false" t="array" ref="J649:J649">IF(A649="","",ifs(AND(D649=1,H649="Pagas prorrateadas"),2705.41*(F649*G649),AND(D649=1,H649="Pagas no prorrateadas"),2318.93*(F649*G649),AND(D649=2,H649="Pagas prorrateadas"),2246.07*(F649*G649),AND(D649=2,H649="Pagas no prorrateadas"),1925.21*(F649*G649),AND(D649=3,H649="Pagas prorrateadas"),1775.44*(F649*G649),AND(D649=3,H649="Pagas no prorrateadas"),1521.81*(F649*G649),AND(D649=5,H649="Pagas prorrateadas"),1535.9*(F649*G649),AND(D649=5,H649="Pagas no prorrateadas"),1316.49*(F649*G649),AND(D649=7,H649="Pagas prorrateadas"),1493.61*(F649*G649),AND(D649=7,H649="Pagas no prorrateadas"),1280.24*(F649*G649)))</f>
        <v/>
      </c>
      <c r="K649" s="106" t="str">
        <f aca="false">IF(A649="","",IF(J649-I649&gt;=0,"OK",J649-I649))</f>
        <v/>
      </c>
    </row>
    <row r="650" customFormat="false" ht="14.25" hidden="false" customHeight="true" outlineLevel="0" collapsed="false">
      <c r="A650" s="106"/>
      <c r="B650" s="106"/>
      <c r="C650" s="107"/>
      <c r="D650" s="106"/>
      <c r="E650" s="106"/>
      <c r="F650" s="130" t="str">
        <f aca="false">IF(A650="","",MIN(E650/(37.5),1))</f>
        <v/>
      </c>
      <c r="G650" s="108"/>
      <c r="H650" s="106"/>
      <c r="I650" s="107"/>
      <c r="J650" s="131" t="str">
        <f aca="false" t="array" ref="J650:J650">IF(A650="","",ifs(AND(D650=1,H650="Pagas prorrateadas"),2705.41*(F650*G650),AND(D650=1,H650="Pagas no prorrateadas"),2318.93*(F650*G650),AND(D650=2,H650="Pagas prorrateadas"),2246.07*(F650*G650),AND(D650=2,H650="Pagas no prorrateadas"),1925.21*(F650*G650),AND(D650=3,H650="Pagas prorrateadas"),1775.44*(F650*G650),AND(D650=3,H650="Pagas no prorrateadas"),1521.81*(F650*G650),AND(D650=5,H650="Pagas prorrateadas"),1535.9*(F650*G650),AND(D650=5,H650="Pagas no prorrateadas"),1316.49*(F650*G650),AND(D650=7,H650="Pagas prorrateadas"),1493.61*(F650*G650),AND(D650=7,H650="Pagas no prorrateadas"),1280.24*(F650*G650)))</f>
        <v/>
      </c>
      <c r="K650" s="106" t="str">
        <f aca="false">IF(A650="","",IF(J650-I650&gt;=0,"OK",J650-I650))</f>
        <v/>
      </c>
    </row>
    <row r="651" customFormat="false" ht="14.25" hidden="false" customHeight="true" outlineLevel="0" collapsed="false">
      <c r="A651" s="106"/>
      <c r="B651" s="106"/>
      <c r="C651" s="107"/>
      <c r="D651" s="106"/>
      <c r="E651" s="106"/>
      <c r="F651" s="130" t="str">
        <f aca="false">IF(A651="","",MIN(E651/(37.5),1))</f>
        <v/>
      </c>
      <c r="G651" s="108"/>
      <c r="H651" s="106"/>
      <c r="I651" s="107"/>
      <c r="J651" s="131" t="str">
        <f aca="false" t="array" ref="J651:J651">IF(A651="","",ifs(AND(D651=1,H651="Pagas prorrateadas"),2705.41*(F651*G651),AND(D651=1,H651="Pagas no prorrateadas"),2318.93*(F651*G651),AND(D651=2,H651="Pagas prorrateadas"),2246.07*(F651*G651),AND(D651=2,H651="Pagas no prorrateadas"),1925.21*(F651*G651),AND(D651=3,H651="Pagas prorrateadas"),1775.44*(F651*G651),AND(D651=3,H651="Pagas no prorrateadas"),1521.81*(F651*G651),AND(D651=5,H651="Pagas prorrateadas"),1535.9*(F651*G651),AND(D651=5,H651="Pagas no prorrateadas"),1316.49*(F651*G651),AND(D651=7,H651="Pagas prorrateadas"),1493.61*(F651*G651),AND(D651=7,H651="Pagas no prorrateadas"),1280.24*(F651*G651)))</f>
        <v/>
      </c>
      <c r="K651" s="106" t="str">
        <f aca="false">IF(A651="","",IF(J651-I651&gt;=0,"OK",J651-I651))</f>
        <v/>
      </c>
    </row>
    <row r="652" customFormat="false" ht="14.25" hidden="false" customHeight="true" outlineLevel="0" collapsed="false">
      <c r="A652" s="106"/>
      <c r="B652" s="106"/>
      <c r="C652" s="107"/>
      <c r="D652" s="106"/>
      <c r="E652" s="106"/>
      <c r="F652" s="130" t="str">
        <f aca="false">IF(A652="","",MIN(E652/(37.5),1))</f>
        <v/>
      </c>
      <c r="G652" s="108"/>
      <c r="H652" s="106"/>
      <c r="I652" s="107"/>
      <c r="J652" s="131" t="str">
        <f aca="false" t="array" ref="J652:J652">IF(A652="","",ifs(AND(D652=1,H652="Pagas prorrateadas"),2705.41*(F652*G652),AND(D652=1,H652="Pagas no prorrateadas"),2318.93*(F652*G652),AND(D652=2,H652="Pagas prorrateadas"),2246.07*(F652*G652),AND(D652=2,H652="Pagas no prorrateadas"),1925.21*(F652*G652),AND(D652=3,H652="Pagas prorrateadas"),1775.44*(F652*G652),AND(D652=3,H652="Pagas no prorrateadas"),1521.81*(F652*G652),AND(D652=5,H652="Pagas prorrateadas"),1535.9*(F652*G652),AND(D652=5,H652="Pagas no prorrateadas"),1316.49*(F652*G652),AND(D652=7,H652="Pagas prorrateadas"),1493.61*(F652*G652),AND(D652=7,H652="Pagas no prorrateadas"),1280.24*(F652*G652)))</f>
        <v/>
      </c>
      <c r="K652" s="106" t="str">
        <f aca="false">IF(A652="","",IF(J652-I652&gt;=0,"OK",J652-I652))</f>
        <v/>
      </c>
    </row>
    <row r="653" customFormat="false" ht="14.25" hidden="false" customHeight="true" outlineLevel="0" collapsed="false">
      <c r="A653" s="106"/>
      <c r="B653" s="106"/>
      <c r="C653" s="107"/>
      <c r="D653" s="106"/>
      <c r="E653" s="106"/>
      <c r="F653" s="130" t="str">
        <f aca="false">IF(A653="","",MIN(E653/(37.5),1))</f>
        <v/>
      </c>
      <c r="G653" s="108"/>
      <c r="H653" s="106"/>
      <c r="I653" s="107"/>
      <c r="J653" s="131" t="str">
        <f aca="false" t="array" ref="J653:J653">IF(A653="","",ifs(AND(D653=1,H653="Pagas prorrateadas"),2705.41*(F653*G653),AND(D653=1,H653="Pagas no prorrateadas"),2318.93*(F653*G653),AND(D653=2,H653="Pagas prorrateadas"),2246.07*(F653*G653),AND(D653=2,H653="Pagas no prorrateadas"),1925.21*(F653*G653),AND(D653=3,H653="Pagas prorrateadas"),1775.44*(F653*G653),AND(D653=3,H653="Pagas no prorrateadas"),1521.81*(F653*G653),AND(D653=5,H653="Pagas prorrateadas"),1535.9*(F653*G653),AND(D653=5,H653="Pagas no prorrateadas"),1316.49*(F653*G653),AND(D653=7,H653="Pagas prorrateadas"),1493.61*(F653*G653),AND(D653=7,H653="Pagas no prorrateadas"),1280.24*(F653*G653)))</f>
        <v/>
      </c>
      <c r="K653" s="106" t="str">
        <f aca="false">IF(A653="","",IF(J653-I653&gt;=0,"OK",J653-I653))</f>
        <v/>
      </c>
    </row>
    <row r="654" customFormat="false" ht="14.25" hidden="false" customHeight="true" outlineLevel="0" collapsed="false">
      <c r="A654" s="106"/>
      <c r="B654" s="106"/>
      <c r="C654" s="107"/>
      <c r="D654" s="106"/>
      <c r="E654" s="106"/>
      <c r="F654" s="130" t="str">
        <f aca="false">IF(A654="","",MIN(E654/(37.5),1))</f>
        <v/>
      </c>
      <c r="G654" s="108"/>
      <c r="H654" s="106"/>
      <c r="I654" s="107"/>
      <c r="J654" s="131" t="str">
        <f aca="false" t="array" ref="J654:J654">IF(A654="","",ifs(AND(D654=1,H654="Pagas prorrateadas"),2705.41*(F654*G654),AND(D654=1,H654="Pagas no prorrateadas"),2318.93*(F654*G654),AND(D654=2,H654="Pagas prorrateadas"),2246.07*(F654*G654),AND(D654=2,H654="Pagas no prorrateadas"),1925.21*(F654*G654),AND(D654=3,H654="Pagas prorrateadas"),1775.44*(F654*G654),AND(D654=3,H654="Pagas no prorrateadas"),1521.81*(F654*G654),AND(D654=5,H654="Pagas prorrateadas"),1535.9*(F654*G654),AND(D654=5,H654="Pagas no prorrateadas"),1316.49*(F654*G654),AND(D654=7,H654="Pagas prorrateadas"),1493.61*(F654*G654),AND(D654=7,H654="Pagas no prorrateadas"),1280.24*(F654*G654)))</f>
        <v/>
      </c>
      <c r="K654" s="106" t="str">
        <f aca="false">IF(A654="","",IF(J654-I654&gt;=0,"OK",J654-I654))</f>
        <v/>
      </c>
    </row>
    <row r="655" customFormat="false" ht="14.25" hidden="false" customHeight="true" outlineLevel="0" collapsed="false">
      <c r="A655" s="106"/>
      <c r="B655" s="106"/>
      <c r="C655" s="107"/>
      <c r="D655" s="106"/>
      <c r="E655" s="106"/>
      <c r="F655" s="130" t="str">
        <f aca="false">IF(A655="","",MIN(E655/(37.5),1))</f>
        <v/>
      </c>
      <c r="G655" s="108"/>
      <c r="H655" s="106"/>
      <c r="I655" s="107"/>
      <c r="J655" s="131" t="str">
        <f aca="false" t="array" ref="J655:J655">IF(A655="","",ifs(AND(D655=1,H655="Pagas prorrateadas"),2705.41*(F655*G655),AND(D655=1,H655="Pagas no prorrateadas"),2318.93*(F655*G655),AND(D655=2,H655="Pagas prorrateadas"),2246.07*(F655*G655),AND(D655=2,H655="Pagas no prorrateadas"),1925.21*(F655*G655),AND(D655=3,H655="Pagas prorrateadas"),1775.44*(F655*G655),AND(D655=3,H655="Pagas no prorrateadas"),1521.81*(F655*G655),AND(D655=5,H655="Pagas prorrateadas"),1535.9*(F655*G655),AND(D655=5,H655="Pagas no prorrateadas"),1316.49*(F655*G655),AND(D655=7,H655="Pagas prorrateadas"),1493.61*(F655*G655),AND(D655=7,H655="Pagas no prorrateadas"),1280.24*(F655*G655)))</f>
        <v/>
      </c>
      <c r="K655" s="106" t="str">
        <f aca="false">IF(A655="","",IF(J655-I655&gt;=0,"OK",J655-I655))</f>
        <v/>
      </c>
    </row>
    <row r="656" customFormat="false" ht="14.25" hidden="false" customHeight="true" outlineLevel="0" collapsed="false">
      <c r="A656" s="106"/>
      <c r="B656" s="106"/>
      <c r="C656" s="107"/>
      <c r="D656" s="106"/>
      <c r="E656" s="106"/>
      <c r="F656" s="130" t="str">
        <f aca="false">IF(A656="","",MIN(E656/(37.5),1))</f>
        <v/>
      </c>
      <c r="G656" s="108"/>
      <c r="H656" s="106"/>
      <c r="I656" s="107"/>
      <c r="J656" s="131" t="str">
        <f aca="false" t="array" ref="J656:J656">IF(A656="","",ifs(AND(D656=1,H656="Pagas prorrateadas"),2705.41*(F656*G656),AND(D656=1,H656="Pagas no prorrateadas"),2318.93*(F656*G656),AND(D656=2,H656="Pagas prorrateadas"),2246.07*(F656*G656),AND(D656=2,H656="Pagas no prorrateadas"),1925.21*(F656*G656),AND(D656=3,H656="Pagas prorrateadas"),1775.44*(F656*G656),AND(D656=3,H656="Pagas no prorrateadas"),1521.81*(F656*G656),AND(D656=5,H656="Pagas prorrateadas"),1535.9*(F656*G656),AND(D656=5,H656="Pagas no prorrateadas"),1316.49*(F656*G656),AND(D656=7,H656="Pagas prorrateadas"),1493.61*(F656*G656),AND(D656=7,H656="Pagas no prorrateadas"),1280.24*(F656*G656)))</f>
        <v/>
      </c>
      <c r="K656" s="106" t="str">
        <f aca="false">IF(A656="","",IF(J656-I656&gt;=0,"OK",J656-I656))</f>
        <v/>
      </c>
    </row>
    <row r="657" customFormat="false" ht="14.25" hidden="false" customHeight="true" outlineLevel="0" collapsed="false">
      <c r="A657" s="106"/>
      <c r="B657" s="106"/>
      <c r="C657" s="107"/>
      <c r="D657" s="106"/>
      <c r="E657" s="106"/>
      <c r="F657" s="130" t="str">
        <f aca="false">IF(A657="","",MIN(E657/(37.5),1))</f>
        <v/>
      </c>
      <c r="G657" s="108"/>
      <c r="H657" s="106"/>
      <c r="I657" s="107"/>
      <c r="J657" s="131" t="str">
        <f aca="false" t="array" ref="J657:J657">IF(A657="","",ifs(AND(D657=1,H657="Pagas prorrateadas"),2705.41*(F657*G657),AND(D657=1,H657="Pagas no prorrateadas"),2318.93*(F657*G657),AND(D657=2,H657="Pagas prorrateadas"),2246.07*(F657*G657),AND(D657=2,H657="Pagas no prorrateadas"),1925.21*(F657*G657),AND(D657=3,H657="Pagas prorrateadas"),1775.44*(F657*G657),AND(D657=3,H657="Pagas no prorrateadas"),1521.81*(F657*G657),AND(D657=5,H657="Pagas prorrateadas"),1535.9*(F657*G657),AND(D657=5,H657="Pagas no prorrateadas"),1316.49*(F657*G657),AND(D657=7,H657="Pagas prorrateadas"),1493.61*(F657*G657),AND(D657=7,H657="Pagas no prorrateadas"),1280.24*(F657*G657)))</f>
        <v/>
      </c>
      <c r="K657" s="106" t="str">
        <f aca="false">IF(A657="","",IF(J657-I657&gt;=0,"OK",J657-I657))</f>
        <v/>
      </c>
    </row>
    <row r="658" customFormat="false" ht="14.25" hidden="false" customHeight="true" outlineLevel="0" collapsed="false">
      <c r="A658" s="106"/>
      <c r="B658" s="106"/>
      <c r="C658" s="107"/>
      <c r="D658" s="106"/>
      <c r="E658" s="106"/>
      <c r="F658" s="130" t="str">
        <f aca="false">IF(A658="","",MIN(E658/(37.5),1))</f>
        <v/>
      </c>
      <c r="G658" s="108"/>
      <c r="H658" s="106"/>
      <c r="I658" s="107"/>
      <c r="J658" s="131" t="str">
        <f aca="false" t="array" ref="J658:J658">IF(A658="","",ifs(AND(D658=1,H658="Pagas prorrateadas"),2705.41*(F658*G658),AND(D658=1,H658="Pagas no prorrateadas"),2318.93*(F658*G658),AND(D658=2,H658="Pagas prorrateadas"),2246.07*(F658*G658),AND(D658=2,H658="Pagas no prorrateadas"),1925.21*(F658*G658),AND(D658=3,H658="Pagas prorrateadas"),1775.44*(F658*G658),AND(D658=3,H658="Pagas no prorrateadas"),1521.81*(F658*G658),AND(D658=5,H658="Pagas prorrateadas"),1535.9*(F658*G658),AND(D658=5,H658="Pagas no prorrateadas"),1316.49*(F658*G658),AND(D658=7,H658="Pagas prorrateadas"),1493.61*(F658*G658),AND(D658=7,H658="Pagas no prorrateadas"),1280.24*(F658*G658)))</f>
        <v/>
      </c>
      <c r="K658" s="106" t="str">
        <f aca="false">IF(A658="","",IF(J658-I658&gt;=0,"OK",J658-I658))</f>
        <v/>
      </c>
    </row>
    <row r="659" customFormat="false" ht="14.25" hidden="false" customHeight="true" outlineLevel="0" collapsed="false">
      <c r="A659" s="106"/>
      <c r="B659" s="106"/>
      <c r="C659" s="107"/>
      <c r="D659" s="106"/>
      <c r="E659" s="106"/>
      <c r="F659" s="130" t="str">
        <f aca="false">IF(A659="","",MIN(E659/(37.5),1))</f>
        <v/>
      </c>
      <c r="G659" s="108"/>
      <c r="H659" s="106"/>
      <c r="I659" s="107"/>
      <c r="J659" s="131" t="str">
        <f aca="false" t="array" ref="J659:J659">IF(A659="","",ifs(AND(D659=1,H659="Pagas prorrateadas"),2705.41*(F659*G659),AND(D659=1,H659="Pagas no prorrateadas"),2318.93*(F659*G659),AND(D659=2,H659="Pagas prorrateadas"),2246.07*(F659*G659),AND(D659=2,H659="Pagas no prorrateadas"),1925.21*(F659*G659),AND(D659=3,H659="Pagas prorrateadas"),1775.44*(F659*G659),AND(D659=3,H659="Pagas no prorrateadas"),1521.81*(F659*G659),AND(D659=5,H659="Pagas prorrateadas"),1535.9*(F659*G659),AND(D659=5,H659="Pagas no prorrateadas"),1316.49*(F659*G659),AND(D659=7,H659="Pagas prorrateadas"),1493.61*(F659*G659),AND(D659=7,H659="Pagas no prorrateadas"),1280.24*(F659*G659)))</f>
        <v/>
      </c>
      <c r="K659" s="106" t="str">
        <f aca="false">IF(A659="","",IF(J659-I659&gt;=0,"OK",J659-I659))</f>
        <v/>
      </c>
    </row>
    <row r="660" customFormat="false" ht="14.25" hidden="false" customHeight="true" outlineLevel="0" collapsed="false">
      <c r="A660" s="106"/>
      <c r="B660" s="106"/>
      <c r="C660" s="107"/>
      <c r="D660" s="106"/>
      <c r="E660" s="106"/>
      <c r="F660" s="130" t="str">
        <f aca="false">IF(A660="","",MIN(E660/(37.5),1))</f>
        <v/>
      </c>
      <c r="G660" s="108"/>
      <c r="H660" s="106"/>
      <c r="I660" s="107"/>
      <c r="J660" s="131" t="str">
        <f aca="false" t="array" ref="J660:J660">IF(A660="","",ifs(AND(D660=1,H660="Pagas prorrateadas"),2705.41*(F660*G660),AND(D660=1,H660="Pagas no prorrateadas"),2318.93*(F660*G660),AND(D660=2,H660="Pagas prorrateadas"),2246.07*(F660*G660),AND(D660=2,H660="Pagas no prorrateadas"),1925.21*(F660*G660),AND(D660=3,H660="Pagas prorrateadas"),1775.44*(F660*G660),AND(D660=3,H660="Pagas no prorrateadas"),1521.81*(F660*G660),AND(D660=5,H660="Pagas prorrateadas"),1535.9*(F660*G660),AND(D660=5,H660="Pagas no prorrateadas"),1316.49*(F660*G660),AND(D660=7,H660="Pagas prorrateadas"),1493.61*(F660*G660),AND(D660=7,H660="Pagas no prorrateadas"),1280.24*(F660*G660)))</f>
        <v/>
      </c>
      <c r="K660" s="106" t="str">
        <f aca="false">IF(A660="","",IF(J660-I660&gt;=0,"OK",J660-I660))</f>
        <v/>
      </c>
    </row>
    <row r="661" customFormat="false" ht="14.25" hidden="false" customHeight="true" outlineLevel="0" collapsed="false">
      <c r="A661" s="106"/>
      <c r="B661" s="106"/>
      <c r="C661" s="107"/>
      <c r="D661" s="106"/>
      <c r="E661" s="106"/>
      <c r="F661" s="130" t="str">
        <f aca="false">IF(A661="","",MIN(E661/(37.5),1))</f>
        <v/>
      </c>
      <c r="G661" s="108"/>
      <c r="H661" s="106"/>
      <c r="I661" s="107"/>
      <c r="J661" s="131" t="str">
        <f aca="false" t="array" ref="J661:J661">IF(A661="","",ifs(AND(D661=1,H661="Pagas prorrateadas"),2705.41*(F661*G661),AND(D661=1,H661="Pagas no prorrateadas"),2318.93*(F661*G661),AND(D661=2,H661="Pagas prorrateadas"),2246.07*(F661*G661),AND(D661=2,H661="Pagas no prorrateadas"),1925.21*(F661*G661),AND(D661=3,H661="Pagas prorrateadas"),1775.44*(F661*G661),AND(D661=3,H661="Pagas no prorrateadas"),1521.81*(F661*G661),AND(D661=5,H661="Pagas prorrateadas"),1535.9*(F661*G661),AND(D661=5,H661="Pagas no prorrateadas"),1316.49*(F661*G661),AND(D661=7,H661="Pagas prorrateadas"),1493.61*(F661*G661),AND(D661=7,H661="Pagas no prorrateadas"),1280.24*(F661*G661)))</f>
        <v/>
      </c>
      <c r="K661" s="106" t="str">
        <f aca="false">IF(A661="","",IF(J661-I661&gt;=0,"OK",J661-I661))</f>
        <v/>
      </c>
    </row>
    <row r="662" customFormat="false" ht="14.25" hidden="false" customHeight="true" outlineLevel="0" collapsed="false">
      <c r="A662" s="106"/>
      <c r="B662" s="106"/>
      <c r="C662" s="107"/>
      <c r="D662" s="106"/>
      <c r="E662" s="106"/>
      <c r="F662" s="130" t="str">
        <f aca="false">IF(A662="","",MIN(E662/(37.5),1))</f>
        <v/>
      </c>
      <c r="G662" s="108"/>
      <c r="H662" s="106"/>
      <c r="I662" s="107"/>
      <c r="J662" s="131" t="str">
        <f aca="false" t="array" ref="J662:J662">IF(A662="","",ifs(AND(D662=1,H662="Pagas prorrateadas"),2705.41*(F662*G662),AND(D662=1,H662="Pagas no prorrateadas"),2318.93*(F662*G662),AND(D662=2,H662="Pagas prorrateadas"),2246.07*(F662*G662),AND(D662=2,H662="Pagas no prorrateadas"),1925.21*(F662*G662),AND(D662=3,H662="Pagas prorrateadas"),1775.44*(F662*G662),AND(D662=3,H662="Pagas no prorrateadas"),1521.81*(F662*G662),AND(D662=5,H662="Pagas prorrateadas"),1535.9*(F662*G662),AND(D662=5,H662="Pagas no prorrateadas"),1316.49*(F662*G662),AND(D662=7,H662="Pagas prorrateadas"),1493.61*(F662*G662),AND(D662=7,H662="Pagas no prorrateadas"),1280.24*(F662*G662)))</f>
        <v/>
      </c>
      <c r="K662" s="106" t="str">
        <f aca="false">IF(A662="","",IF(J662-I662&gt;=0,"OK",J662-I662))</f>
        <v/>
      </c>
    </row>
    <row r="663" customFormat="false" ht="14.25" hidden="false" customHeight="true" outlineLevel="0" collapsed="false">
      <c r="A663" s="106"/>
      <c r="B663" s="106"/>
      <c r="C663" s="107"/>
      <c r="D663" s="106"/>
      <c r="E663" s="106"/>
      <c r="F663" s="130" t="str">
        <f aca="false">IF(A663="","",MIN(E663/(37.5),1))</f>
        <v/>
      </c>
      <c r="G663" s="108"/>
      <c r="H663" s="106"/>
      <c r="I663" s="107"/>
      <c r="J663" s="131" t="str">
        <f aca="false" t="array" ref="J663:J663">IF(A663="","",ifs(AND(D663=1,H663="Pagas prorrateadas"),2705.41*(F663*G663),AND(D663=1,H663="Pagas no prorrateadas"),2318.93*(F663*G663),AND(D663=2,H663="Pagas prorrateadas"),2246.07*(F663*G663),AND(D663=2,H663="Pagas no prorrateadas"),1925.21*(F663*G663),AND(D663=3,H663="Pagas prorrateadas"),1775.44*(F663*G663),AND(D663=3,H663="Pagas no prorrateadas"),1521.81*(F663*G663),AND(D663=5,H663="Pagas prorrateadas"),1535.9*(F663*G663),AND(D663=5,H663="Pagas no prorrateadas"),1316.49*(F663*G663),AND(D663=7,H663="Pagas prorrateadas"),1493.61*(F663*G663),AND(D663=7,H663="Pagas no prorrateadas"),1280.24*(F663*G663)))</f>
        <v/>
      </c>
      <c r="K663" s="106" t="str">
        <f aca="false">IF(A663="","",IF(J663-I663&gt;=0,"OK",J663-I663))</f>
        <v/>
      </c>
    </row>
    <row r="664" customFormat="false" ht="14.25" hidden="false" customHeight="true" outlineLevel="0" collapsed="false">
      <c r="A664" s="106"/>
      <c r="B664" s="106"/>
      <c r="C664" s="107"/>
      <c r="D664" s="106"/>
      <c r="E664" s="106"/>
      <c r="F664" s="130" t="str">
        <f aca="false">IF(A664="","",MIN(E664/(37.5),1))</f>
        <v/>
      </c>
      <c r="G664" s="108"/>
      <c r="H664" s="106"/>
      <c r="I664" s="107"/>
      <c r="J664" s="131" t="str">
        <f aca="false" t="array" ref="J664:J664">IF(A664="","",ifs(AND(D664=1,H664="Pagas prorrateadas"),2705.41*(F664*G664),AND(D664=1,H664="Pagas no prorrateadas"),2318.93*(F664*G664),AND(D664=2,H664="Pagas prorrateadas"),2246.07*(F664*G664),AND(D664=2,H664="Pagas no prorrateadas"),1925.21*(F664*G664),AND(D664=3,H664="Pagas prorrateadas"),1775.44*(F664*G664),AND(D664=3,H664="Pagas no prorrateadas"),1521.81*(F664*G664),AND(D664=5,H664="Pagas prorrateadas"),1535.9*(F664*G664),AND(D664=5,H664="Pagas no prorrateadas"),1316.49*(F664*G664),AND(D664=7,H664="Pagas prorrateadas"),1493.61*(F664*G664),AND(D664=7,H664="Pagas no prorrateadas"),1280.24*(F664*G664)))</f>
        <v/>
      </c>
      <c r="K664" s="106" t="str">
        <f aca="false">IF(A664="","",IF(J664-I664&gt;=0,"OK",J664-I664))</f>
        <v/>
      </c>
    </row>
    <row r="665" customFormat="false" ht="14.25" hidden="false" customHeight="true" outlineLevel="0" collapsed="false">
      <c r="A665" s="106"/>
      <c r="B665" s="106"/>
      <c r="C665" s="107"/>
      <c r="D665" s="106"/>
      <c r="E665" s="106"/>
      <c r="F665" s="130" t="str">
        <f aca="false">IF(A665="","",MIN(E665/(37.5),1))</f>
        <v/>
      </c>
      <c r="G665" s="108"/>
      <c r="H665" s="106"/>
      <c r="I665" s="107"/>
      <c r="J665" s="131" t="str">
        <f aca="false" t="array" ref="J665:J665">IF(A665="","",ifs(AND(D665=1,H665="Pagas prorrateadas"),2705.41*(F665*G665),AND(D665=1,H665="Pagas no prorrateadas"),2318.93*(F665*G665),AND(D665=2,H665="Pagas prorrateadas"),2246.07*(F665*G665),AND(D665=2,H665="Pagas no prorrateadas"),1925.21*(F665*G665),AND(D665=3,H665="Pagas prorrateadas"),1775.44*(F665*G665),AND(D665=3,H665="Pagas no prorrateadas"),1521.81*(F665*G665),AND(D665=5,H665="Pagas prorrateadas"),1535.9*(F665*G665),AND(D665=5,H665="Pagas no prorrateadas"),1316.49*(F665*G665),AND(D665=7,H665="Pagas prorrateadas"),1493.61*(F665*G665),AND(D665=7,H665="Pagas no prorrateadas"),1280.24*(F665*G665)))</f>
        <v/>
      </c>
      <c r="K665" s="106" t="str">
        <f aca="false">IF(A665="","",IF(J665-I665&gt;=0,"OK",J665-I665))</f>
        <v/>
      </c>
    </row>
    <row r="666" customFormat="false" ht="14.25" hidden="false" customHeight="true" outlineLevel="0" collapsed="false">
      <c r="A666" s="106"/>
      <c r="B666" s="106"/>
      <c r="C666" s="107"/>
      <c r="D666" s="106"/>
      <c r="E666" s="106"/>
      <c r="F666" s="130" t="str">
        <f aca="false">IF(A666="","",MIN(E666/(37.5),1))</f>
        <v/>
      </c>
      <c r="G666" s="108"/>
      <c r="H666" s="106"/>
      <c r="I666" s="107"/>
      <c r="J666" s="131" t="str">
        <f aca="false" t="array" ref="J666:J666">IF(A666="","",ifs(AND(D666=1,H666="Pagas prorrateadas"),2705.41*(F666*G666),AND(D666=1,H666="Pagas no prorrateadas"),2318.93*(F666*G666),AND(D666=2,H666="Pagas prorrateadas"),2246.07*(F666*G666),AND(D666=2,H666="Pagas no prorrateadas"),1925.21*(F666*G666),AND(D666=3,H666="Pagas prorrateadas"),1775.44*(F666*G666),AND(D666=3,H666="Pagas no prorrateadas"),1521.81*(F666*G666),AND(D666=5,H666="Pagas prorrateadas"),1535.9*(F666*G666),AND(D666=5,H666="Pagas no prorrateadas"),1316.49*(F666*G666),AND(D666=7,H666="Pagas prorrateadas"),1493.61*(F666*G666),AND(D666=7,H666="Pagas no prorrateadas"),1280.24*(F666*G666)))</f>
        <v/>
      </c>
      <c r="K666" s="106" t="str">
        <f aca="false">IF(A666="","",IF(J666-I666&gt;=0,"OK",J666-I666))</f>
        <v/>
      </c>
    </row>
    <row r="667" customFormat="false" ht="14.25" hidden="false" customHeight="true" outlineLevel="0" collapsed="false">
      <c r="A667" s="106"/>
      <c r="B667" s="106"/>
      <c r="C667" s="107"/>
      <c r="D667" s="106"/>
      <c r="E667" s="106"/>
      <c r="F667" s="130" t="str">
        <f aca="false">IF(A667="","",MIN(E667/(37.5),1))</f>
        <v/>
      </c>
      <c r="G667" s="108"/>
      <c r="H667" s="106"/>
      <c r="I667" s="107"/>
      <c r="J667" s="131" t="str">
        <f aca="false" t="array" ref="J667:J667">IF(A667="","",ifs(AND(D667=1,H667="Pagas prorrateadas"),2705.41*(F667*G667),AND(D667=1,H667="Pagas no prorrateadas"),2318.93*(F667*G667),AND(D667=2,H667="Pagas prorrateadas"),2246.07*(F667*G667),AND(D667=2,H667="Pagas no prorrateadas"),1925.21*(F667*G667),AND(D667=3,H667="Pagas prorrateadas"),1775.44*(F667*G667),AND(D667=3,H667="Pagas no prorrateadas"),1521.81*(F667*G667),AND(D667=5,H667="Pagas prorrateadas"),1535.9*(F667*G667),AND(D667=5,H667="Pagas no prorrateadas"),1316.49*(F667*G667),AND(D667=7,H667="Pagas prorrateadas"),1493.61*(F667*G667),AND(D667=7,H667="Pagas no prorrateadas"),1280.24*(F667*G667)))</f>
        <v/>
      </c>
      <c r="K667" s="106" t="str">
        <f aca="false">IF(A667="","",IF(J667-I667&gt;=0,"OK",J667-I667))</f>
        <v/>
      </c>
    </row>
    <row r="668" customFormat="false" ht="14.25" hidden="false" customHeight="true" outlineLevel="0" collapsed="false">
      <c r="A668" s="106"/>
      <c r="B668" s="106"/>
      <c r="C668" s="107"/>
      <c r="D668" s="106"/>
      <c r="E668" s="106"/>
      <c r="F668" s="130" t="str">
        <f aca="false">IF(A668="","",MIN(E668/(37.5),1))</f>
        <v/>
      </c>
      <c r="G668" s="108"/>
      <c r="H668" s="106"/>
      <c r="I668" s="107"/>
      <c r="J668" s="131" t="str">
        <f aca="false" t="array" ref="J668:J668">IF(A668="","",ifs(AND(D668=1,H668="Pagas prorrateadas"),2705.41*(F668*G668),AND(D668=1,H668="Pagas no prorrateadas"),2318.93*(F668*G668),AND(D668=2,H668="Pagas prorrateadas"),2246.07*(F668*G668),AND(D668=2,H668="Pagas no prorrateadas"),1925.21*(F668*G668),AND(D668=3,H668="Pagas prorrateadas"),1775.44*(F668*G668),AND(D668=3,H668="Pagas no prorrateadas"),1521.81*(F668*G668),AND(D668=5,H668="Pagas prorrateadas"),1535.9*(F668*G668),AND(D668=5,H668="Pagas no prorrateadas"),1316.49*(F668*G668),AND(D668=7,H668="Pagas prorrateadas"),1493.61*(F668*G668),AND(D668=7,H668="Pagas no prorrateadas"),1280.24*(F668*G668)))</f>
        <v/>
      </c>
      <c r="K668" s="106" t="str">
        <f aca="false">IF(A668="","",IF(J668-I668&gt;=0,"OK",J668-I668))</f>
        <v/>
      </c>
    </row>
    <row r="669" customFormat="false" ht="14.25" hidden="false" customHeight="true" outlineLevel="0" collapsed="false">
      <c r="A669" s="106"/>
      <c r="B669" s="106"/>
      <c r="C669" s="107"/>
      <c r="D669" s="106"/>
      <c r="E669" s="106"/>
      <c r="F669" s="130" t="str">
        <f aca="false">IF(A669="","",MIN(E669/(37.5),1))</f>
        <v/>
      </c>
      <c r="G669" s="108"/>
      <c r="H669" s="106"/>
      <c r="I669" s="107"/>
      <c r="J669" s="131" t="str">
        <f aca="false" t="array" ref="J669:J669">IF(A669="","",ifs(AND(D669=1,H669="Pagas prorrateadas"),2705.41*(F669*G669),AND(D669=1,H669="Pagas no prorrateadas"),2318.93*(F669*G669),AND(D669=2,H669="Pagas prorrateadas"),2246.07*(F669*G669),AND(D669=2,H669="Pagas no prorrateadas"),1925.21*(F669*G669),AND(D669=3,H669="Pagas prorrateadas"),1775.44*(F669*G669),AND(D669=3,H669="Pagas no prorrateadas"),1521.81*(F669*G669),AND(D669=5,H669="Pagas prorrateadas"),1535.9*(F669*G669),AND(D669=5,H669="Pagas no prorrateadas"),1316.49*(F669*G669),AND(D669=7,H669="Pagas prorrateadas"),1493.61*(F669*G669),AND(D669=7,H669="Pagas no prorrateadas"),1280.24*(F669*G669)))</f>
        <v/>
      </c>
      <c r="K669" s="106" t="str">
        <f aca="false">IF(A669="","",IF(J669-I669&gt;=0,"OK",J669-I669))</f>
        <v/>
      </c>
    </row>
    <row r="670" customFormat="false" ht="14.25" hidden="false" customHeight="true" outlineLevel="0" collapsed="false">
      <c r="A670" s="106"/>
      <c r="B670" s="106"/>
      <c r="C670" s="107"/>
      <c r="D670" s="106"/>
      <c r="E670" s="106"/>
      <c r="F670" s="130" t="str">
        <f aca="false">IF(A670="","",MIN(E670/(37.5),1))</f>
        <v/>
      </c>
      <c r="G670" s="108"/>
      <c r="H670" s="106"/>
      <c r="I670" s="107"/>
      <c r="J670" s="131" t="str">
        <f aca="false" t="array" ref="J670:J670">IF(A670="","",ifs(AND(D670=1,H670="Pagas prorrateadas"),2705.41*(F670*G670),AND(D670=1,H670="Pagas no prorrateadas"),2318.93*(F670*G670),AND(D670=2,H670="Pagas prorrateadas"),2246.07*(F670*G670),AND(D670=2,H670="Pagas no prorrateadas"),1925.21*(F670*G670),AND(D670=3,H670="Pagas prorrateadas"),1775.44*(F670*G670),AND(D670=3,H670="Pagas no prorrateadas"),1521.81*(F670*G670),AND(D670=5,H670="Pagas prorrateadas"),1535.9*(F670*G670),AND(D670=5,H670="Pagas no prorrateadas"),1316.49*(F670*G670),AND(D670=7,H670="Pagas prorrateadas"),1493.61*(F670*G670),AND(D670=7,H670="Pagas no prorrateadas"),1280.24*(F670*G670)))</f>
        <v/>
      </c>
      <c r="K670" s="106" t="str">
        <f aca="false">IF(A670="","",IF(J670-I670&gt;=0,"OK",J670-I670))</f>
        <v/>
      </c>
    </row>
    <row r="671" customFormat="false" ht="14.25" hidden="false" customHeight="true" outlineLevel="0" collapsed="false">
      <c r="A671" s="106"/>
      <c r="B671" s="106"/>
      <c r="C671" s="107"/>
      <c r="D671" s="106"/>
      <c r="E671" s="106"/>
      <c r="F671" s="130" t="str">
        <f aca="false">IF(A671="","",MIN(E671/(37.5),1))</f>
        <v/>
      </c>
      <c r="G671" s="108"/>
      <c r="H671" s="106"/>
      <c r="I671" s="107"/>
      <c r="J671" s="131" t="str">
        <f aca="false" t="array" ref="J671:J671">IF(A671="","",ifs(AND(D671=1,H671="Pagas prorrateadas"),2705.41*(F671*G671),AND(D671=1,H671="Pagas no prorrateadas"),2318.93*(F671*G671),AND(D671=2,H671="Pagas prorrateadas"),2246.07*(F671*G671),AND(D671=2,H671="Pagas no prorrateadas"),1925.21*(F671*G671),AND(D671=3,H671="Pagas prorrateadas"),1775.44*(F671*G671),AND(D671=3,H671="Pagas no prorrateadas"),1521.81*(F671*G671),AND(D671=5,H671="Pagas prorrateadas"),1535.9*(F671*G671),AND(D671=5,H671="Pagas no prorrateadas"),1316.49*(F671*G671),AND(D671=7,H671="Pagas prorrateadas"),1493.61*(F671*G671),AND(D671=7,H671="Pagas no prorrateadas"),1280.24*(F671*G671)))</f>
        <v/>
      </c>
      <c r="K671" s="106" t="str">
        <f aca="false">IF(A671="","",IF(J671-I671&gt;=0,"OK",J671-I671))</f>
        <v/>
      </c>
    </row>
    <row r="672" customFormat="false" ht="14.25" hidden="false" customHeight="true" outlineLevel="0" collapsed="false">
      <c r="A672" s="106"/>
      <c r="B672" s="106"/>
      <c r="C672" s="107"/>
      <c r="D672" s="106"/>
      <c r="E672" s="106"/>
      <c r="F672" s="130" t="str">
        <f aca="false">IF(A672="","",MIN(E672/(37.5),1))</f>
        <v/>
      </c>
      <c r="G672" s="108"/>
      <c r="H672" s="106"/>
      <c r="I672" s="107"/>
      <c r="J672" s="131" t="str">
        <f aca="false" t="array" ref="J672:J672">IF(A672="","",ifs(AND(D672=1,H672="Pagas prorrateadas"),2705.41*(F672*G672),AND(D672=1,H672="Pagas no prorrateadas"),2318.93*(F672*G672),AND(D672=2,H672="Pagas prorrateadas"),2246.07*(F672*G672),AND(D672=2,H672="Pagas no prorrateadas"),1925.21*(F672*G672),AND(D672=3,H672="Pagas prorrateadas"),1775.44*(F672*G672),AND(D672=3,H672="Pagas no prorrateadas"),1521.81*(F672*G672),AND(D672=5,H672="Pagas prorrateadas"),1535.9*(F672*G672),AND(D672=5,H672="Pagas no prorrateadas"),1316.49*(F672*G672),AND(D672=7,H672="Pagas prorrateadas"),1493.61*(F672*G672),AND(D672=7,H672="Pagas no prorrateadas"),1280.24*(F672*G672)))</f>
        <v/>
      </c>
      <c r="K672" s="106" t="str">
        <f aca="false">IF(A672="","",IF(J672-I672&gt;=0,"OK",J672-I672))</f>
        <v/>
      </c>
    </row>
    <row r="673" customFormat="false" ht="14.25" hidden="false" customHeight="true" outlineLevel="0" collapsed="false">
      <c r="A673" s="106"/>
      <c r="B673" s="106"/>
      <c r="C673" s="107"/>
      <c r="D673" s="106"/>
      <c r="E673" s="106"/>
      <c r="F673" s="130" t="str">
        <f aca="false">IF(A673="","",MIN(E673/(37.5),1))</f>
        <v/>
      </c>
      <c r="G673" s="108"/>
      <c r="H673" s="106"/>
      <c r="I673" s="107"/>
      <c r="J673" s="131" t="str">
        <f aca="false" t="array" ref="J673:J673">IF(A673="","",ifs(AND(D673=1,H673="Pagas prorrateadas"),2705.41*(F673*G673),AND(D673=1,H673="Pagas no prorrateadas"),2318.93*(F673*G673),AND(D673=2,H673="Pagas prorrateadas"),2246.07*(F673*G673),AND(D673=2,H673="Pagas no prorrateadas"),1925.21*(F673*G673),AND(D673=3,H673="Pagas prorrateadas"),1775.44*(F673*G673),AND(D673=3,H673="Pagas no prorrateadas"),1521.81*(F673*G673),AND(D673=5,H673="Pagas prorrateadas"),1535.9*(F673*G673),AND(D673=5,H673="Pagas no prorrateadas"),1316.49*(F673*G673),AND(D673=7,H673="Pagas prorrateadas"),1493.61*(F673*G673),AND(D673=7,H673="Pagas no prorrateadas"),1280.24*(F673*G673)))</f>
        <v/>
      </c>
      <c r="K673" s="106" t="str">
        <f aca="false">IF(A673="","",IF(J673-I673&gt;=0,"OK",J673-I673))</f>
        <v/>
      </c>
    </row>
    <row r="674" customFormat="false" ht="14.25" hidden="false" customHeight="true" outlineLevel="0" collapsed="false">
      <c r="A674" s="106"/>
      <c r="B674" s="106"/>
      <c r="C674" s="107"/>
      <c r="D674" s="106"/>
      <c r="E674" s="106"/>
      <c r="F674" s="130" t="str">
        <f aca="false">IF(A674="","",MIN(E674/(37.5),1))</f>
        <v/>
      </c>
      <c r="G674" s="108"/>
      <c r="H674" s="106"/>
      <c r="I674" s="107"/>
      <c r="J674" s="131" t="str">
        <f aca="false" t="array" ref="J674:J674">IF(A674="","",ifs(AND(D674=1,H674="Pagas prorrateadas"),2705.41*(F674*G674),AND(D674=1,H674="Pagas no prorrateadas"),2318.93*(F674*G674),AND(D674=2,H674="Pagas prorrateadas"),2246.07*(F674*G674),AND(D674=2,H674="Pagas no prorrateadas"),1925.21*(F674*G674),AND(D674=3,H674="Pagas prorrateadas"),1775.44*(F674*G674),AND(D674=3,H674="Pagas no prorrateadas"),1521.81*(F674*G674),AND(D674=5,H674="Pagas prorrateadas"),1535.9*(F674*G674),AND(D674=5,H674="Pagas no prorrateadas"),1316.49*(F674*G674),AND(D674=7,H674="Pagas prorrateadas"),1493.61*(F674*G674),AND(D674=7,H674="Pagas no prorrateadas"),1280.24*(F674*G674)))</f>
        <v/>
      </c>
      <c r="K674" s="106" t="str">
        <f aca="false">IF(A674="","",IF(J674-I674&gt;=0,"OK",J674-I674))</f>
        <v/>
      </c>
    </row>
    <row r="675" customFormat="false" ht="14.25" hidden="false" customHeight="true" outlineLevel="0" collapsed="false">
      <c r="A675" s="106"/>
      <c r="B675" s="106"/>
      <c r="C675" s="107"/>
      <c r="D675" s="106"/>
      <c r="E675" s="106"/>
      <c r="F675" s="130" t="str">
        <f aca="false">IF(A675="","",MIN(E675/(37.5),1))</f>
        <v/>
      </c>
      <c r="G675" s="108"/>
      <c r="H675" s="106"/>
      <c r="I675" s="107"/>
      <c r="J675" s="131" t="str">
        <f aca="false" t="array" ref="J675:J675">IF(A675="","",ifs(AND(D675=1,H675="Pagas prorrateadas"),2705.41*(F675*G675),AND(D675=1,H675="Pagas no prorrateadas"),2318.93*(F675*G675),AND(D675=2,H675="Pagas prorrateadas"),2246.07*(F675*G675),AND(D675=2,H675="Pagas no prorrateadas"),1925.21*(F675*G675),AND(D675=3,H675="Pagas prorrateadas"),1775.44*(F675*G675),AND(D675=3,H675="Pagas no prorrateadas"),1521.81*(F675*G675),AND(D675=5,H675="Pagas prorrateadas"),1535.9*(F675*G675),AND(D675=5,H675="Pagas no prorrateadas"),1316.49*(F675*G675),AND(D675=7,H675="Pagas prorrateadas"),1493.61*(F675*G675),AND(D675=7,H675="Pagas no prorrateadas"),1280.24*(F675*G675)))</f>
        <v/>
      </c>
      <c r="K675" s="106" t="str">
        <f aca="false">IF(A675="","",IF(J675-I675&gt;=0,"OK",J675-I675))</f>
        <v/>
      </c>
    </row>
    <row r="676" customFormat="false" ht="14.25" hidden="false" customHeight="true" outlineLevel="0" collapsed="false">
      <c r="A676" s="106"/>
      <c r="B676" s="106"/>
      <c r="C676" s="107"/>
      <c r="D676" s="106"/>
      <c r="E676" s="106"/>
      <c r="F676" s="130" t="str">
        <f aca="false">IF(A676="","",MIN(E676/(37.5),1))</f>
        <v/>
      </c>
      <c r="G676" s="108"/>
      <c r="H676" s="106"/>
      <c r="I676" s="107"/>
      <c r="J676" s="131" t="str">
        <f aca="false" t="array" ref="J676:J676">IF(A676="","",ifs(AND(D676=1,H676="Pagas prorrateadas"),2705.41*(F676*G676),AND(D676=1,H676="Pagas no prorrateadas"),2318.93*(F676*G676),AND(D676=2,H676="Pagas prorrateadas"),2246.07*(F676*G676),AND(D676=2,H676="Pagas no prorrateadas"),1925.21*(F676*G676),AND(D676=3,H676="Pagas prorrateadas"),1775.44*(F676*G676),AND(D676=3,H676="Pagas no prorrateadas"),1521.81*(F676*G676),AND(D676=5,H676="Pagas prorrateadas"),1535.9*(F676*G676),AND(D676=5,H676="Pagas no prorrateadas"),1316.49*(F676*G676),AND(D676=7,H676="Pagas prorrateadas"),1493.61*(F676*G676),AND(D676=7,H676="Pagas no prorrateadas"),1280.24*(F676*G676)))</f>
        <v/>
      </c>
      <c r="K676" s="106" t="str">
        <f aca="false">IF(A676="","",IF(J676-I676&gt;=0,"OK",J676-I676))</f>
        <v/>
      </c>
    </row>
    <row r="677" customFormat="false" ht="14.25" hidden="false" customHeight="true" outlineLevel="0" collapsed="false">
      <c r="A677" s="106"/>
      <c r="B677" s="106"/>
      <c r="C677" s="107"/>
      <c r="D677" s="106"/>
      <c r="E677" s="106"/>
      <c r="F677" s="130" t="str">
        <f aca="false">IF(A677="","",MIN(E677/(37.5),1))</f>
        <v/>
      </c>
      <c r="G677" s="108"/>
      <c r="H677" s="106"/>
      <c r="I677" s="107"/>
      <c r="J677" s="131" t="str">
        <f aca="false" t="array" ref="J677:J677">IF(A677="","",ifs(AND(D677=1,H677="Pagas prorrateadas"),2705.41*(F677*G677),AND(D677=1,H677="Pagas no prorrateadas"),2318.93*(F677*G677),AND(D677=2,H677="Pagas prorrateadas"),2246.07*(F677*G677),AND(D677=2,H677="Pagas no prorrateadas"),1925.21*(F677*G677),AND(D677=3,H677="Pagas prorrateadas"),1775.44*(F677*G677),AND(D677=3,H677="Pagas no prorrateadas"),1521.81*(F677*G677),AND(D677=5,H677="Pagas prorrateadas"),1535.9*(F677*G677),AND(D677=5,H677="Pagas no prorrateadas"),1316.49*(F677*G677),AND(D677=7,H677="Pagas prorrateadas"),1493.61*(F677*G677),AND(D677=7,H677="Pagas no prorrateadas"),1280.24*(F677*G677)))</f>
        <v/>
      </c>
      <c r="K677" s="106" t="str">
        <f aca="false">IF(A677="","",IF(J677-I677&gt;=0,"OK",J677-I677))</f>
        <v/>
      </c>
    </row>
    <row r="678" customFormat="false" ht="14.25" hidden="false" customHeight="true" outlineLevel="0" collapsed="false">
      <c r="A678" s="106"/>
      <c r="B678" s="106"/>
      <c r="C678" s="107"/>
      <c r="D678" s="106"/>
      <c r="E678" s="106"/>
      <c r="F678" s="130" t="str">
        <f aca="false">IF(A678="","",MIN(E678/(37.5),1))</f>
        <v/>
      </c>
      <c r="G678" s="108"/>
      <c r="H678" s="106"/>
      <c r="I678" s="107"/>
      <c r="J678" s="131" t="str">
        <f aca="false" t="array" ref="J678:J678">IF(A678="","",ifs(AND(D678=1,H678="Pagas prorrateadas"),2705.41*(F678*G678),AND(D678=1,H678="Pagas no prorrateadas"),2318.93*(F678*G678),AND(D678=2,H678="Pagas prorrateadas"),2246.07*(F678*G678),AND(D678=2,H678="Pagas no prorrateadas"),1925.21*(F678*G678),AND(D678=3,H678="Pagas prorrateadas"),1775.44*(F678*G678),AND(D678=3,H678="Pagas no prorrateadas"),1521.81*(F678*G678),AND(D678=5,H678="Pagas prorrateadas"),1535.9*(F678*G678),AND(D678=5,H678="Pagas no prorrateadas"),1316.49*(F678*G678),AND(D678=7,H678="Pagas prorrateadas"),1493.61*(F678*G678),AND(D678=7,H678="Pagas no prorrateadas"),1280.24*(F678*G678)))</f>
        <v/>
      </c>
      <c r="K678" s="106" t="str">
        <f aca="false">IF(A678="","",IF(J678-I678&gt;=0,"OK",J678-I678))</f>
        <v/>
      </c>
    </row>
    <row r="679" customFormat="false" ht="14.25" hidden="false" customHeight="true" outlineLevel="0" collapsed="false">
      <c r="A679" s="106"/>
      <c r="B679" s="106"/>
      <c r="C679" s="107"/>
      <c r="D679" s="106"/>
      <c r="E679" s="106"/>
      <c r="F679" s="130" t="str">
        <f aca="false">IF(A679="","",MIN(E679/(37.5),1))</f>
        <v/>
      </c>
      <c r="G679" s="108"/>
      <c r="H679" s="106"/>
      <c r="I679" s="107"/>
      <c r="J679" s="131" t="str">
        <f aca="false" t="array" ref="J679:J679">IF(A679="","",ifs(AND(D679=1,H679="Pagas prorrateadas"),2705.41*(F679*G679),AND(D679=1,H679="Pagas no prorrateadas"),2318.93*(F679*G679),AND(D679=2,H679="Pagas prorrateadas"),2246.07*(F679*G679),AND(D679=2,H679="Pagas no prorrateadas"),1925.21*(F679*G679),AND(D679=3,H679="Pagas prorrateadas"),1775.44*(F679*G679),AND(D679=3,H679="Pagas no prorrateadas"),1521.81*(F679*G679),AND(D679=5,H679="Pagas prorrateadas"),1535.9*(F679*G679),AND(D679=5,H679="Pagas no prorrateadas"),1316.49*(F679*G679),AND(D679=7,H679="Pagas prorrateadas"),1493.61*(F679*G679),AND(D679=7,H679="Pagas no prorrateadas"),1280.24*(F679*G679)))</f>
        <v/>
      </c>
      <c r="K679" s="106" t="str">
        <f aca="false">IF(A679="","",IF(J679-I679&gt;=0,"OK",J679-I679))</f>
        <v/>
      </c>
    </row>
    <row r="680" customFormat="false" ht="14.25" hidden="false" customHeight="true" outlineLevel="0" collapsed="false">
      <c r="A680" s="106"/>
      <c r="B680" s="106"/>
      <c r="C680" s="107"/>
      <c r="D680" s="106"/>
      <c r="E680" s="106"/>
      <c r="F680" s="130" t="str">
        <f aca="false">IF(A680="","",MIN(E680/(37.5),1))</f>
        <v/>
      </c>
      <c r="G680" s="108"/>
      <c r="H680" s="106"/>
      <c r="I680" s="107"/>
      <c r="J680" s="131" t="str">
        <f aca="false" t="array" ref="J680:J680">IF(A680="","",ifs(AND(D680=1,H680="Pagas prorrateadas"),2705.41*(F680*G680),AND(D680=1,H680="Pagas no prorrateadas"),2318.93*(F680*G680),AND(D680=2,H680="Pagas prorrateadas"),2246.07*(F680*G680),AND(D680=2,H680="Pagas no prorrateadas"),1925.21*(F680*G680),AND(D680=3,H680="Pagas prorrateadas"),1775.44*(F680*G680),AND(D680=3,H680="Pagas no prorrateadas"),1521.81*(F680*G680),AND(D680=5,H680="Pagas prorrateadas"),1535.9*(F680*G680),AND(D680=5,H680="Pagas no prorrateadas"),1316.49*(F680*G680),AND(D680=7,H680="Pagas prorrateadas"),1493.61*(F680*G680),AND(D680=7,H680="Pagas no prorrateadas"),1280.24*(F680*G680)))</f>
        <v/>
      </c>
      <c r="K680" s="106" t="str">
        <f aca="false">IF(A680="","",IF(J680-I680&gt;=0,"OK",J680-I680))</f>
        <v/>
      </c>
    </row>
    <row r="681" customFormat="false" ht="14.25" hidden="false" customHeight="true" outlineLevel="0" collapsed="false">
      <c r="A681" s="106"/>
      <c r="B681" s="106"/>
      <c r="C681" s="107"/>
      <c r="D681" s="106"/>
      <c r="E681" s="106"/>
      <c r="F681" s="130" t="str">
        <f aca="false">IF(A681="","",MIN(E681/(37.5),1))</f>
        <v/>
      </c>
      <c r="G681" s="108"/>
      <c r="H681" s="106"/>
      <c r="I681" s="107"/>
      <c r="J681" s="131" t="str">
        <f aca="false" t="array" ref="J681:J681">IF(A681="","",ifs(AND(D681=1,H681="Pagas prorrateadas"),2705.41*(F681*G681),AND(D681=1,H681="Pagas no prorrateadas"),2318.93*(F681*G681),AND(D681=2,H681="Pagas prorrateadas"),2246.07*(F681*G681),AND(D681=2,H681="Pagas no prorrateadas"),1925.21*(F681*G681),AND(D681=3,H681="Pagas prorrateadas"),1775.44*(F681*G681),AND(D681=3,H681="Pagas no prorrateadas"),1521.81*(F681*G681),AND(D681=5,H681="Pagas prorrateadas"),1535.9*(F681*G681),AND(D681=5,H681="Pagas no prorrateadas"),1316.49*(F681*G681),AND(D681=7,H681="Pagas prorrateadas"),1493.61*(F681*G681),AND(D681=7,H681="Pagas no prorrateadas"),1280.24*(F681*G681)))</f>
        <v/>
      </c>
      <c r="K681" s="106" t="str">
        <f aca="false">IF(A681="","",IF(J681-I681&gt;=0,"OK",J681-I681))</f>
        <v/>
      </c>
    </row>
    <row r="682" customFormat="false" ht="14.25" hidden="false" customHeight="true" outlineLevel="0" collapsed="false">
      <c r="A682" s="106"/>
      <c r="B682" s="106"/>
      <c r="C682" s="107"/>
      <c r="D682" s="106"/>
      <c r="E682" s="106"/>
      <c r="F682" s="130" t="str">
        <f aca="false">IF(A682="","",MIN(E682/(37.5),1))</f>
        <v/>
      </c>
      <c r="G682" s="108"/>
      <c r="H682" s="106"/>
      <c r="I682" s="107"/>
      <c r="J682" s="131" t="str">
        <f aca="false" t="array" ref="J682:J682">IF(A682="","",ifs(AND(D682=1,H682="Pagas prorrateadas"),2705.41*(F682*G682),AND(D682=1,H682="Pagas no prorrateadas"),2318.93*(F682*G682),AND(D682=2,H682="Pagas prorrateadas"),2246.07*(F682*G682),AND(D682=2,H682="Pagas no prorrateadas"),1925.21*(F682*G682),AND(D682=3,H682="Pagas prorrateadas"),1775.44*(F682*G682),AND(D682=3,H682="Pagas no prorrateadas"),1521.81*(F682*G682),AND(D682=5,H682="Pagas prorrateadas"),1535.9*(F682*G682),AND(D682=5,H682="Pagas no prorrateadas"),1316.49*(F682*G682),AND(D682=7,H682="Pagas prorrateadas"),1493.61*(F682*G682),AND(D682=7,H682="Pagas no prorrateadas"),1280.24*(F682*G682)))</f>
        <v/>
      </c>
      <c r="K682" s="106" t="str">
        <f aca="false">IF(A682="","",IF(J682-I682&gt;=0,"OK",J682-I682))</f>
        <v/>
      </c>
    </row>
    <row r="683" customFormat="false" ht="14.25" hidden="false" customHeight="true" outlineLevel="0" collapsed="false">
      <c r="A683" s="106"/>
      <c r="B683" s="106"/>
      <c r="C683" s="107"/>
      <c r="D683" s="106"/>
      <c r="E683" s="106"/>
      <c r="F683" s="130" t="str">
        <f aca="false">IF(A683="","",MIN(E683/(37.5),1))</f>
        <v/>
      </c>
      <c r="G683" s="108"/>
      <c r="H683" s="106"/>
      <c r="I683" s="107"/>
      <c r="J683" s="131" t="str">
        <f aca="false" t="array" ref="J683:J683">IF(A683="","",ifs(AND(D683=1,H683="Pagas prorrateadas"),2705.41*(F683*G683),AND(D683=1,H683="Pagas no prorrateadas"),2318.93*(F683*G683),AND(D683=2,H683="Pagas prorrateadas"),2246.07*(F683*G683),AND(D683=2,H683="Pagas no prorrateadas"),1925.21*(F683*G683),AND(D683=3,H683="Pagas prorrateadas"),1775.44*(F683*G683),AND(D683=3,H683="Pagas no prorrateadas"),1521.81*(F683*G683),AND(D683=5,H683="Pagas prorrateadas"),1535.9*(F683*G683),AND(D683=5,H683="Pagas no prorrateadas"),1316.49*(F683*G683),AND(D683=7,H683="Pagas prorrateadas"),1493.61*(F683*G683),AND(D683=7,H683="Pagas no prorrateadas"),1280.24*(F683*G683)))</f>
        <v/>
      </c>
      <c r="K683" s="106" t="str">
        <f aca="false">IF(A683="","",IF(J683-I683&gt;=0,"OK",J683-I683))</f>
        <v/>
      </c>
    </row>
    <row r="684" customFormat="false" ht="14.25" hidden="false" customHeight="true" outlineLevel="0" collapsed="false">
      <c r="A684" s="106"/>
      <c r="B684" s="106"/>
      <c r="C684" s="107"/>
      <c r="D684" s="106"/>
      <c r="E684" s="106"/>
      <c r="F684" s="130" t="str">
        <f aca="false">IF(A684="","",MIN(E684/(37.5),1))</f>
        <v/>
      </c>
      <c r="G684" s="108"/>
      <c r="H684" s="106"/>
      <c r="I684" s="107"/>
      <c r="J684" s="131" t="str">
        <f aca="false" t="array" ref="J684:J684">IF(A684="","",ifs(AND(D684=1,H684="Pagas prorrateadas"),2705.41*(F684*G684),AND(D684=1,H684="Pagas no prorrateadas"),2318.93*(F684*G684),AND(D684=2,H684="Pagas prorrateadas"),2246.07*(F684*G684),AND(D684=2,H684="Pagas no prorrateadas"),1925.21*(F684*G684),AND(D684=3,H684="Pagas prorrateadas"),1775.44*(F684*G684),AND(D684=3,H684="Pagas no prorrateadas"),1521.81*(F684*G684),AND(D684=5,H684="Pagas prorrateadas"),1535.9*(F684*G684),AND(D684=5,H684="Pagas no prorrateadas"),1316.49*(F684*G684),AND(D684=7,H684="Pagas prorrateadas"),1493.61*(F684*G684),AND(D684=7,H684="Pagas no prorrateadas"),1280.24*(F684*G684)))</f>
        <v/>
      </c>
      <c r="K684" s="106" t="str">
        <f aca="false">IF(A684="","",IF(J684-I684&gt;=0,"OK",J684-I684))</f>
        <v/>
      </c>
    </row>
    <row r="685" customFormat="false" ht="14.25" hidden="false" customHeight="true" outlineLevel="0" collapsed="false">
      <c r="A685" s="106"/>
      <c r="B685" s="106"/>
      <c r="C685" s="107"/>
      <c r="D685" s="106"/>
      <c r="E685" s="106"/>
      <c r="F685" s="130" t="str">
        <f aca="false">IF(A685="","",MIN(E685/(37.5),1))</f>
        <v/>
      </c>
      <c r="G685" s="108"/>
      <c r="H685" s="106"/>
      <c r="I685" s="107"/>
      <c r="J685" s="131" t="str">
        <f aca="false" t="array" ref="J685:J685">IF(A685="","",ifs(AND(D685=1,H685="Pagas prorrateadas"),2705.41*(F685*G685),AND(D685=1,H685="Pagas no prorrateadas"),2318.93*(F685*G685),AND(D685=2,H685="Pagas prorrateadas"),2246.07*(F685*G685),AND(D685=2,H685="Pagas no prorrateadas"),1925.21*(F685*G685),AND(D685=3,H685="Pagas prorrateadas"),1775.44*(F685*G685),AND(D685=3,H685="Pagas no prorrateadas"),1521.81*(F685*G685),AND(D685=5,H685="Pagas prorrateadas"),1535.9*(F685*G685),AND(D685=5,H685="Pagas no prorrateadas"),1316.49*(F685*G685),AND(D685=7,H685="Pagas prorrateadas"),1493.61*(F685*G685),AND(D685=7,H685="Pagas no prorrateadas"),1280.24*(F685*G685)))</f>
        <v/>
      </c>
      <c r="K685" s="106" t="str">
        <f aca="false">IF(A685="","",IF(J685-I685&gt;=0,"OK",J685-I685))</f>
        <v/>
      </c>
    </row>
    <row r="686" customFormat="false" ht="14.25" hidden="false" customHeight="true" outlineLevel="0" collapsed="false">
      <c r="A686" s="106"/>
      <c r="B686" s="106"/>
      <c r="C686" s="107"/>
      <c r="D686" s="106"/>
      <c r="E686" s="106"/>
      <c r="F686" s="130" t="str">
        <f aca="false">IF(A686="","",MIN(E686/(37.5),1))</f>
        <v/>
      </c>
      <c r="G686" s="108"/>
      <c r="H686" s="106"/>
      <c r="I686" s="107"/>
      <c r="J686" s="131" t="str">
        <f aca="false" t="array" ref="J686:J686">IF(A686="","",ifs(AND(D686=1,H686="Pagas prorrateadas"),2705.41*(F686*G686),AND(D686=1,H686="Pagas no prorrateadas"),2318.93*(F686*G686),AND(D686=2,H686="Pagas prorrateadas"),2246.07*(F686*G686),AND(D686=2,H686="Pagas no prorrateadas"),1925.21*(F686*G686),AND(D686=3,H686="Pagas prorrateadas"),1775.44*(F686*G686),AND(D686=3,H686="Pagas no prorrateadas"),1521.81*(F686*G686),AND(D686=5,H686="Pagas prorrateadas"),1535.9*(F686*G686),AND(D686=5,H686="Pagas no prorrateadas"),1316.49*(F686*G686),AND(D686=7,H686="Pagas prorrateadas"),1493.61*(F686*G686),AND(D686=7,H686="Pagas no prorrateadas"),1280.24*(F686*G686)))</f>
        <v/>
      </c>
      <c r="K686" s="106" t="str">
        <f aca="false">IF(A686="","",IF(J686-I686&gt;=0,"OK",J686-I686))</f>
        <v/>
      </c>
    </row>
    <row r="687" customFormat="false" ht="14.25" hidden="false" customHeight="true" outlineLevel="0" collapsed="false">
      <c r="A687" s="106"/>
      <c r="B687" s="106"/>
      <c r="C687" s="107"/>
      <c r="D687" s="106"/>
      <c r="E687" s="106"/>
      <c r="F687" s="130" t="str">
        <f aca="false">IF(A687="","",MIN(E687/(37.5),1))</f>
        <v/>
      </c>
      <c r="G687" s="108"/>
      <c r="H687" s="106"/>
      <c r="I687" s="107"/>
      <c r="J687" s="131" t="str">
        <f aca="false" t="array" ref="J687:J687">IF(A687="","",ifs(AND(D687=1,H687="Pagas prorrateadas"),2705.41*(F687*G687),AND(D687=1,H687="Pagas no prorrateadas"),2318.93*(F687*G687),AND(D687=2,H687="Pagas prorrateadas"),2246.07*(F687*G687),AND(D687=2,H687="Pagas no prorrateadas"),1925.21*(F687*G687),AND(D687=3,H687="Pagas prorrateadas"),1775.44*(F687*G687),AND(D687=3,H687="Pagas no prorrateadas"),1521.81*(F687*G687),AND(D687=5,H687="Pagas prorrateadas"),1535.9*(F687*G687),AND(D687=5,H687="Pagas no prorrateadas"),1316.49*(F687*G687),AND(D687=7,H687="Pagas prorrateadas"),1493.61*(F687*G687),AND(D687=7,H687="Pagas no prorrateadas"),1280.24*(F687*G687)))</f>
        <v/>
      </c>
      <c r="K687" s="106" t="str">
        <f aca="false">IF(A687="","",IF(J687-I687&gt;=0,"OK",J687-I687))</f>
        <v/>
      </c>
    </row>
    <row r="688" customFormat="false" ht="14.25" hidden="false" customHeight="true" outlineLevel="0" collapsed="false">
      <c r="A688" s="106"/>
      <c r="B688" s="106"/>
      <c r="C688" s="107"/>
      <c r="D688" s="106"/>
      <c r="E688" s="106"/>
      <c r="F688" s="130" t="str">
        <f aca="false">IF(A688="","",MIN(E688/(37.5),1))</f>
        <v/>
      </c>
      <c r="G688" s="108"/>
      <c r="H688" s="106"/>
      <c r="I688" s="107"/>
      <c r="J688" s="131" t="str">
        <f aca="false" t="array" ref="J688:J688">IF(A688="","",ifs(AND(D688=1,H688="Pagas prorrateadas"),2705.41*(F688*G688),AND(D688=1,H688="Pagas no prorrateadas"),2318.93*(F688*G688),AND(D688=2,H688="Pagas prorrateadas"),2246.07*(F688*G688),AND(D688=2,H688="Pagas no prorrateadas"),1925.21*(F688*G688),AND(D688=3,H688="Pagas prorrateadas"),1775.44*(F688*G688),AND(D688=3,H688="Pagas no prorrateadas"),1521.81*(F688*G688),AND(D688=5,H688="Pagas prorrateadas"),1535.9*(F688*G688),AND(D688=5,H688="Pagas no prorrateadas"),1316.49*(F688*G688),AND(D688=7,H688="Pagas prorrateadas"),1493.61*(F688*G688),AND(D688=7,H688="Pagas no prorrateadas"),1280.24*(F688*G688)))</f>
        <v/>
      </c>
      <c r="K688" s="106" t="str">
        <f aca="false">IF(A688="","",IF(J688-I688&gt;=0,"OK",J688-I688))</f>
        <v/>
      </c>
    </row>
    <row r="689" customFormat="false" ht="14.25" hidden="false" customHeight="true" outlineLevel="0" collapsed="false">
      <c r="A689" s="106"/>
      <c r="B689" s="106"/>
      <c r="C689" s="107"/>
      <c r="D689" s="106"/>
      <c r="E689" s="106"/>
      <c r="F689" s="130" t="str">
        <f aca="false">IF(A689="","",MIN(E689/(37.5),1))</f>
        <v/>
      </c>
      <c r="G689" s="108"/>
      <c r="H689" s="106"/>
      <c r="I689" s="107"/>
      <c r="J689" s="131" t="str">
        <f aca="false" t="array" ref="J689:J689">IF(A689="","",ifs(AND(D689=1,H689="Pagas prorrateadas"),2705.41*(F689*G689),AND(D689=1,H689="Pagas no prorrateadas"),2318.93*(F689*G689),AND(D689=2,H689="Pagas prorrateadas"),2246.07*(F689*G689),AND(D689=2,H689="Pagas no prorrateadas"),1925.21*(F689*G689),AND(D689=3,H689="Pagas prorrateadas"),1775.44*(F689*G689),AND(D689=3,H689="Pagas no prorrateadas"),1521.81*(F689*G689),AND(D689=5,H689="Pagas prorrateadas"),1535.9*(F689*G689),AND(D689=5,H689="Pagas no prorrateadas"),1316.49*(F689*G689),AND(D689=7,H689="Pagas prorrateadas"),1493.61*(F689*G689),AND(D689=7,H689="Pagas no prorrateadas"),1280.24*(F689*G689)))</f>
        <v/>
      </c>
      <c r="K689" s="106" t="str">
        <f aca="false">IF(A689="","",IF(J689-I689&gt;=0,"OK",J689-I689))</f>
        <v/>
      </c>
    </row>
    <row r="690" customFormat="false" ht="14.25" hidden="false" customHeight="true" outlineLevel="0" collapsed="false">
      <c r="A690" s="106"/>
      <c r="B690" s="106"/>
      <c r="C690" s="107"/>
      <c r="D690" s="106"/>
      <c r="E690" s="106"/>
      <c r="F690" s="130" t="str">
        <f aca="false">IF(A690="","",MIN(E690/(37.5),1))</f>
        <v/>
      </c>
      <c r="G690" s="108"/>
      <c r="H690" s="106"/>
      <c r="I690" s="107"/>
      <c r="J690" s="131" t="str">
        <f aca="false" t="array" ref="J690:J690">IF(A690="","",ifs(AND(D690=1,H690="Pagas prorrateadas"),2705.41*(F690*G690),AND(D690=1,H690="Pagas no prorrateadas"),2318.93*(F690*G690),AND(D690=2,H690="Pagas prorrateadas"),2246.07*(F690*G690),AND(D690=2,H690="Pagas no prorrateadas"),1925.21*(F690*G690),AND(D690=3,H690="Pagas prorrateadas"),1775.44*(F690*G690),AND(D690=3,H690="Pagas no prorrateadas"),1521.81*(F690*G690),AND(D690=5,H690="Pagas prorrateadas"),1535.9*(F690*G690),AND(D690=5,H690="Pagas no prorrateadas"),1316.49*(F690*G690),AND(D690=7,H690="Pagas prorrateadas"),1493.61*(F690*G690),AND(D690=7,H690="Pagas no prorrateadas"),1280.24*(F690*G690)))</f>
        <v/>
      </c>
      <c r="K690" s="106" t="str">
        <f aca="false">IF(A690="","",IF(J690-I690&gt;=0,"OK",J690-I690))</f>
        <v/>
      </c>
    </row>
    <row r="691" customFormat="false" ht="14.25" hidden="false" customHeight="true" outlineLevel="0" collapsed="false">
      <c r="A691" s="106"/>
      <c r="B691" s="106"/>
      <c r="C691" s="107"/>
      <c r="D691" s="106"/>
      <c r="E691" s="106"/>
      <c r="F691" s="130" t="str">
        <f aca="false">IF(A691="","",MIN(E691/(37.5),1))</f>
        <v/>
      </c>
      <c r="G691" s="108"/>
      <c r="H691" s="106"/>
      <c r="I691" s="107"/>
      <c r="J691" s="131" t="str">
        <f aca="false" t="array" ref="J691:J691">IF(A691="","",ifs(AND(D691=1,H691="Pagas prorrateadas"),2705.41*(F691*G691),AND(D691=1,H691="Pagas no prorrateadas"),2318.93*(F691*G691),AND(D691=2,H691="Pagas prorrateadas"),2246.07*(F691*G691),AND(D691=2,H691="Pagas no prorrateadas"),1925.21*(F691*G691),AND(D691=3,H691="Pagas prorrateadas"),1775.44*(F691*G691),AND(D691=3,H691="Pagas no prorrateadas"),1521.81*(F691*G691),AND(D691=5,H691="Pagas prorrateadas"),1535.9*(F691*G691),AND(D691=5,H691="Pagas no prorrateadas"),1316.49*(F691*G691),AND(D691=7,H691="Pagas prorrateadas"),1493.61*(F691*G691),AND(D691=7,H691="Pagas no prorrateadas"),1280.24*(F691*G691)))</f>
        <v/>
      </c>
      <c r="K691" s="106" t="str">
        <f aca="false">IF(A691="","",IF(J691-I691&gt;=0,"OK",J691-I691))</f>
        <v/>
      </c>
    </row>
    <row r="692" customFormat="false" ht="14.25" hidden="false" customHeight="true" outlineLevel="0" collapsed="false">
      <c r="A692" s="106"/>
      <c r="B692" s="106"/>
      <c r="C692" s="107"/>
      <c r="D692" s="106"/>
      <c r="E692" s="106"/>
      <c r="F692" s="130" t="str">
        <f aca="false">IF(A692="","",MIN(E692/(37.5),1))</f>
        <v/>
      </c>
      <c r="G692" s="108"/>
      <c r="H692" s="106"/>
      <c r="I692" s="107"/>
      <c r="J692" s="131" t="str">
        <f aca="false" t="array" ref="J692:J692">IF(A692="","",ifs(AND(D692=1,H692="Pagas prorrateadas"),2705.41*(F692*G692),AND(D692=1,H692="Pagas no prorrateadas"),2318.93*(F692*G692),AND(D692=2,H692="Pagas prorrateadas"),2246.07*(F692*G692),AND(D692=2,H692="Pagas no prorrateadas"),1925.21*(F692*G692),AND(D692=3,H692="Pagas prorrateadas"),1775.44*(F692*G692),AND(D692=3,H692="Pagas no prorrateadas"),1521.81*(F692*G692),AND(D692=5,H692="Pagas prorrateadas"),1535.9*(F692*G692),AND(D692=5,H692="Pagas no prorrateadas"),1316.49*(F692*G692),AND(D692=7,H692="Pagas prorrateadas"),1493.61*(F692*G692),AND(D692=7,H692="Pagas no prorrateadas"),1280.24*(F692*G692)))</f>
        <v/>
      </c>
      <c r="K692" s="106" t="str">
        <f aca="false">IF(A692="","",IF(J692-I692&gt;=0,"OK",J692-I692))</f>
        <v/>
      </c>
    </row>
    <row r="693" customFormat="false" ht="14.25" hidden="false" customHeight="true" outlineLevel="0" collapsed="false">
      <c r="A693" s="106"/>
      <c r="B693" s="106"/>
      <c r="C693" s="107"/>
      <c r="D693" s="106"/>
      <c r="E693" s="106"/>
      <c r="F693" s="130" t="str">
        <f aca="false">IF(A693="","",MIN(E693/(37.5),1))</f>
        <v/>
      </c>
      <c r="G693" s="108"/>
      <c r="H693" s="106"/>
      <c r="I693" s="107"/>
      <c r="J693" s="131" t="str">
        <f aca="false" t="array" ref="J693:J693">IF(A693="","",ifs(AND(D693=1,H693="Pagas prorrateadas"),2705.41*(F693*G693),AND(D693=1,H693="Pagas no prorrateadas"),2318.93*(F693*G693),AND(D693=2,H693="Pagas prorrateadas"),2246.07*(F693*G693),AND(D693=2,H693="Pagas no prorrateadas"),1925.21*(F693*G693),AND(D693=3,H693="Pagas prorrateadas"),1775.44*(F693*G693),AND(D693=3,H693="Pagas no prorrateadas"),1521.81*(F693*G693),AND(D693=5,H693="Pagas prorrateadas"),1535.9*(F693*G693),AND(D693=5,H693="Pagas no prorrateadas"),1316.49*(F693*G693),AND(D693=7,H693="Pagas prorrateadas"),1493.61*(F693*G693),AND(D693=7,H693="Pagas no prorrateadas"),1280.24*(F693*G693)))</f>
        <v/>
      </c>
      <c r="K693" s="106" t="str">
        <f aca="false">IF(A693="","",IF(J693-I693&gt;=0,"OK",J693-I693))</f>
        <v/>
      </c>
    </row>
    <row r="694" customFormat="false" ht="14.25" hidden="false" customHeight="true" outlineLevel="0" collapsed="false">
      <c r="A694" s="106"/>
      <c r="B694" s="106"/>
      <c r="C694" s="107"/>
      <c r="D694" s="106"/>
      <c r="E694" s="106"/>
      <c r="F694" s="130" t="str">
        <f aca="false">IF(A694="","",MIN(E694/(37.5),1))</f>
        <v/>
      </c>
      <c r="G694" s="108"/>
      <c r="H694" s="106"/>
      <c r="I694" s="107"/>
      <c r="J694" s="131" t="str">
        <f aca="false" t="array" ref="J694:J694">IF(A694="","",ifs(AND(D694=1,H694="Pagas prorrateadas"),2705.41*(F694*G694),AND(D694=1,H694="Pagas no prorrateadas"),2318.93*(F694*G694),AND(D694=2,H694="Pagas prorrateadas"),2246.07*(F694*G694),AND(D694=2,H694="Pagas no prorrateadas"),1925.21*(F694*G694),AND(D694=3,H694="Pagas prorrateadas"),1775.44*(F694*G694),AND(D694=3,H694="Pagas no prorrateadas"),1521.81*(F694*G694),AND(D694=5,H694="Pagas prorrateadas"),1535.9*(F694*G694),AND(D694=5,H694="Pagas no prorrateadas"),1316.49*(F694*G694),AND(D694=7,H694="Pagas prorrateadas"),1493.61*(F694*G694),AND(D694=7,H694="Pagas no prorrateadas"),1280.24*(F694*G694)))</f>
        <v/>
      </c>
      <c r="K694" s="106" t="str">
        <f aca="false">IF(A694="","",IF(J694-I694&gt;=0,"OK",J694-I694))</f>
        <v/>
      </c>
    </row>
    <row r="695" customFormat="false" ht="14.25" hidden="false" customHeight="true" outlineLevel="0" collapsed="false">
      <c r="A695" s="106"/>
      <c r="B695" s="106"/>
      <c r="C695" s="107"/>
      <c r="D695" s="106"/>
      <c r="E695" s="106"/>
      <c r="F695" s="130" t="str">
        <f aca="false">IF(A695="","",MIN(E695/(37.5),1))</f>
        <v/>
      </c>
      <c r="G695" s="108"/>
      <c r="H695" s="106"/>
      <c r="I695" s="107"/>
      <c r="J695" s="131" t="str">
        <f aca="false" t="array" ref="J695:J695">IF(A695="","",ifs(AND(D695=1,H695="Pagas prorrateadas"),2705.41*(F695*G695),AND(D695=1,H695="Pagas no prorrateadas"),2318.93*(F695*G695),AND(D695=2,H695="Pagas prorrateadas"),2246.07*(F695*G695),AND(D695=2,H695="Pagas no prorrateadas"),1925.21*(F695*G695),AND(D695=3,H695="Pagas prorrateadas"),1775.44*(F695*G695),AND(D695=3,H695="Pagas no prorrateadas"),1521.81*(F695*G695),AND(D695=5,H695="Pagas prorrateadas"),1535.9*(F695*G695),AND(D695=5,H695="Pagas no prorrateadas"),1316.49*(F695*G695),AND(D695=7,H695="Pagas prorrateadas"),1493.61*(F695*G695),AND(D695=7,H695="Pagas no prorrateadas"),1280.24*(F695*G695)))</f>
        <v/>
      </c>
      <c r="K695" s="106" t="str">
        <f aca="false">IF(A695="","",IF(J695-I695&gt;=0,"OK",J695-I695))</f>
        <v/>
      </c>
    </row>
    <row r="696" customFormat="false" ht="14.25" hidden="false" customHeight="true" outlineLevel="0" collapsed="false">
      <c r="A696" s="106"/>
      <c r="B696" s="106"/>
      <c r="C696" s="107"/>
      <c r="D696" s="106"/>
      <c r="E696" s="106"/>
      <c r="F696" s="130" t="str">
        <f aca="false">IF(A696="","",MIN(E696/(37.5),1))</f>
        <v/>
      </c>
      <c r="G696" s="108"/>
      <c r="H696" s="106"/>
      <c r="I696" s="107"/>
      <c r="J696" s="131" t="str">
        <f aca="false" t="array" ref="J696:J696">IF(A696="","",ifs(AND(D696=1,H696="Pagas prorrateadas"),2705.41*(F696*G696),AND(D696=1,H696="Pagas no prorrateadas"),2318.93*(F696*G696),AND(D696=2,H696="Pagas prorrateadas"),2246.07*(F696*G696),AND(D696=2,H696="Pagas no prorrateadas"),1925.21*(F696*G696),AND(D696=3,H696="Pagas prorrateadas"),1775.44*(F696*G696),AND(D696=3,H696="Pagas no prorrateadas"),1521.81*(F696*G696),AND(D696=5,H696="Pagas prorrateadas"),1535.9*(F696*G696),AND(D696=5,H696="Pagas no prorrateadas"),1316.49*(F696*G696),AND(D696=7,H696="Pagas prorrateadas"),1493.61*(F696*G696),AND(D696=7,H696="Pagas no prorrateadas"),1280.24*(F696*G696)))</f>
        <v/>
      </c>
      <c r="K696" s="106" t="str">
        <f aca="false">IF(A696="","",IF(J696-I696&gt;=0,"OK",J696-I696))</f>
        <v/>
      </c>
    </row>
    <row r="697" customFormat="false" ht="14.25" hidden="false" customHeight="true" outlineLevel="0" collapsed="false">
      <c r="A697" s="106"/>
      <c r="B697" s="106"/>
      <c r="C697" s="107"/>
      <c r="D697" s="106"/>
      <c r="E697" s="106"/>
      <c r="F697" s="130" t="str">
        <f aca="false">IF(A697="","",MIN(E697/(37.5),1))</f>
        <v/>
      </c>
      <c r="G697" s="108"/>
      <c r="H697" s="106"/>
      <c r="I697" s="107"/>
      <c r="J697" s="131" t="str">
        <f aca="false" t="array" ref="J697:J697">IF(A697="","",ifs(AND(D697=1,H697="Pagas prorrateadas"),2705.41*(F697*G697),AND(D697=1,H697="Pagas no prorrateadas"),2318.93*(F697*G697),AND(D697=2,H697="Pagas prorrateadas"),2246.07*(F697*G697),AND(D697=2,H697="Pagas no prorrateadas"),1925.21*(F697*G697),AND(D697=3,H697="Pagas prorrateadas"),1775.44*(F697*G697),AND(D697=3,H697="Pagas no prorrateadas"),1521.81*(F697*G697),AND(D697=5,H697="Pagas prorrateadas"),1535.9*(F697*G697),AND(D697=5,H697="Pagas no prorrateadas"),1316.49*(F697*G697),AND(D697=7,H697="Pagas prorrateadas"),1493.61*(F697*G697),AND(D697=7,H697="Pagas no prorrateadas"),1280.24*(F697*G697)))</f>
        <v/>
      </c>
      <c r="K697" s="106" t="str">
        <f aca="false">IF(A697="","",IF(J697-I697&gt;=0,"OK",J697-I697))</f>
        <v/>
      </c>
    </row>
    <row r="698" customFormat="false" ht="14.25" hidden="false" customHeight="true" outlineLevel="0" collapsed="false">
      <c r="A698" s="106"/>
      <c r="B698" s="106"/>
      <c r="C698" s="107"/>
      <c r="D698" s="106"/>
      <c r="E698" s="106"/>
      <c r="F698" s="130" t="str">
        <f aca="false">IF(A698="","",MIN(E698/(37.5),1))</f>
        <v/>
      </c>
      <c r="G698" s="108"/>
      <c r="H698" s="106"/>
      <c r="I698" s="107"/>
      <c r="J698" s="131" t="str">
        <f aca="false" t="array" ref="J698:J698">IF(A698="","",ifs(AND(D698=1,H698="Pagas prorrateadas"),2705.41*(F698*G698),AND(D698=1,H698="Pagas no prorrateadas"),2318.93*(F698*G698),AND(D698=2,H698="Pagas prorrateadas"),2246.07*(F698*G698),AND(D698=2,H698="Pagas no prorrateadas"),1925.21*(F698*G698),AND(D698=3,H698="Pagas prorrateadas"),1775.44*(F698*G698),AND(D698=3,H698="Pagas no prorrateadas"),1521.81*(F698*G698),AND(D698=5,H698="Pagas prorrateadas"),1535.9*(F698*G698),AND(D698=5,H698="Pagas no prorrateadas"),1316.49*(F698*G698),AND(D698=7,H698="Pagas prorrateadas"),1493.61*(F698*G698),AND(D698=7,H698="Pagas no prorrateadas"),1280.24*(F698*G698)))</f>
        <v/>
      </c>
      <c r="K698" s="106" t="str">
        <f aca="false">IF(A698="","",IF(J698-I698&gt;=0,"OK",J698-I698))</f>
        <v/>
      </c>
    </row>
    <row r="699" customFormat="false" ht="14.25" hidden="false" customHeight="true" outlineLevel="0" collapsed="false">
      <c r="A699" s="106"/>
      <c r="B699" s="106"/>
      <c r="C699" s="107"/>
      <c r="D699" s="106"/>
      <c r="E699" s="106"/>
      <c r="F699" s="130" t="str">
        <f aca="false">IF(A699="","",MIN(E699/(37.5),1))</f>
        <v/>
      </c>
      <c r="G699" s="108"/>
      <c r="H699" s="106"/>
      <c r="I699" s="107"/>
      <c r="J699" s="131" t="str">
        <f aca="false" t="array" ref="J699:J699">IF(A699="","",ifs(AND(D699=1,H699="Pagas prorrateadas"),2705.41*(F699*G699),AND(D699=1,H699="Pagas no prorrateadas"),2318.93*(F699*G699),AND(D699=2,H699="Pagas prorrateadas"),2246.07*(F699*G699),AND(D699=2,H699="Pagas no prorrateadas"),1925.21*(F699*G699),AND(D699=3,H699="Pagas prorrateadas"),1775.44*(F699*G699),AND(D699=3,H699="Pagas no prorrateadas"),1521.81*(F699*G699),AND(D699=5,H699="Pagas prorrateadas"),1535.9*(F699*G699),AND(D699=5,H699="Pagas no prorrateadas"),1316.49*(F699*G699),AND(D699=7,H699="Pagas prorrateadas"),1493.61*(F699*G699),AND(D699=7,H699="Pagas no prorrateadas"),1280.24*(F699*G699)))</f>
        <v/>
      </c>
      <c r="K699" s="106" t="str">
        <f aca="false">IF(A699="","",IF(J699-I699&gt;=0,"OK",J699-I699))</f>
        <v/>
      </c>
    </row>
    <row r="700" customFormat="false" ht="14.25" hidden="false" customHeight="true" outlineLevel="0" collapsed="false">
      <c r="A700" s="106"/>
      <c r="B700" s="106"/>
      <c r="C700" s="107"/>
      <c r="D700" s="106"/>
      <c r="E700" s="106"/>
      <c r="F700" s="130" t="str">
        <f aca="false">IF(A700="","",MIN(E700/(37.5),1))</f>
        <v/>
      </c>
      <c r="G700" s="108"/>
      <c r="H700" s="106"/>
      <c r="I700" s="107"/>
      <c r="J700" s="131" t="str">
        <f aca="false" t="array" ref="J700:J700">IF(A700="","",ifs(AND(D700=1,H700="Pagas prorrateadas"),2705.41*(F700*G700),AND(D700=1,H700="Pagas no prorrateadas"),2318.93*(F700*G700),AND(D700=2,H700="Pagas prorrateadas"),2246.07*(F700*G700),AND(D700=2,H700="Pagas no prorrateadas"),1925.21*(F700*G700),AND(D700=3,H700="Pagas prorrateadas"),1775.44*(F700*G700),AND(D700=3,H700="Pagas no prorrateadas"),1521.81*(F700*G700),AND(D700=5,H700="Pagas prorrateadas"),1535.9*(F700*G700),AND(D700=5,H700="Pagas no prorrateadas"),1316.49*(F700*G700),AND(D700=7,H700="Pagas prorrateadas"),1493.61*(F700*G700),AND(D700=7,H700="Pagas no prorrateadas"),1280.24*(F700*G700)))</f>
        <v/>
      </c>
      <c r="K700" s="106" t="str">
        <f aca="false">IF(A700="","",IF(J700-I700&gt;=0,"OK",J700-I700))</f>
        <v/>
      </c>
    </row>
    <row r="701" customFormat="false" ht="14.25" hidden="false" customHeight="true" outlineLevel="0" collapsed="false">
      <c r="A701" s="106"/>
      <c r="B701" s="106"/>
      <c r="C701" s="107"/>
      <c r="D701" s="106"/>
      <c r="E701" s="106"/>
      <c r="F701" s="130" t="str">
        <f aca="false">IF(A701="","",MIN(E701/(37.5),1))</f>
        <v/>
      </c>
      <c r="G701" s="108"/>
      <c r="H701" s="106"/>
      <c r="I701" s="107"/>
      <c r="J701" s="131" t="str">
        <f aca="false" t="array" ref="J701:J701">IF(A701="","",ifs(AND(D701=1,H701="Pagas prorrateadas"),2705.41*(F701*G701),AND(D701=1,H701="Pagas no prorrateadas"),2318.93*(F701*G701),AND(D701=2,H701="Pagas prorrateadas"),2246.07*(F701*G701),AND(D701=2,H701="Pagas no prorrateadas"),1925.21*(F701*G701),AND(D701=3,H701="Pagas prorrateadas"),1775.44*(F701*G701),AND(D701=3,H701="Pagas no prorrateadas"),1521.81*(F701*G701),AND(D701=5,H701="Pagas prorrateadas"),1535.9*(F701*G701),AND(D701=5,H701="Pagas no prorrateadas"),1316.49*(F701*G701),AND(D701=7,H701="Pagas prorrateadas"),1493.61*(F701*G701),AND(D701=7,H701="Pagas no prorrateadas"),1280.24*(F701*G701)))</f>
        <v/>
      </c>
      <c r="K701" s="106" t="str">
        <f aca="false">IF(A701="","",IF(J701-I701&gt;=0,"OK",J701-I701))</f>
        <v/>
      </c>
    </row>
    <row r="702" customFormat="false" ht="14.25" hidden="false" customHeight="true" outlineLevel="0" collapsed="false">
      <c r="A702" s="106"/>
      <c r="B702" s="106"/>
      <c r="C702" s="107"/>
      <c r="D702" s="106"/>
      <c r="E702" s="106"/>
      <c r="F702" s="130" t="str">
        <f aca="false">IF(A702="","",MIN(E702/(37.5),1))</f>
        <v/>
      </c>
      <c r="G702" s="108"/>
      <c r="H702" s="106"/>
      <c r="I702" s="107"/>
      <c r="J702" s="131" t="str">
        <f aca="false" t="array" ref="J702:J702">IF(A702="","",ifs(AND(D702=1,H702="Pagas prorrateadas"),2705.41*(F702*G702),AND(D702=1,H702="Pagas no prorrateadas"),2318.93*(F702*G702),AND(D702=2,H702="Pagas prorrateadas"),2246.07*(F702*G702),AND(D702=2,H702="Pagas no prorrateadas"),1925.21*(F702*G702),AND(D702=3,H702="Pagas prorrateadas"),1775.44*(F702*G702),AND(D702=3,H702="Pagas no prorrateadas"),1521.81*(F702*G702),AND(D702=5,H702="Pagas prorrateadas"),1535.9*(F702*G702),AND(D702=5,H702="Pagas no prorrateadas"),1316.49*(F702*G702),AND(D702=7,H702="Pagas prorrateadas"),1493.61*(F702*G702),AND(D702=7,H702="Pagas no prorrateadas"),1280.24*(F702*G702)))</f>
        <v/>
      </c>
      <c r="K702" s="106" t="str">
        <f aca="false">IF(A702="","",IF(J702-I702&gt;=0,"OK",J702-I702))</f>
        <v/>
      </c>
    </row>
    <row r="703" customFormat="false" ht="14.25" hidden="false" customHeight="true" outlineLevel="0" collapsed="false">
      <c r="A703" s="106"/>
      <c r="B703" s="106"/>
      <c r="C703" s="107"/>
      <c r="D703" s="106"/>
      <c r="E703" s="106"/>
      <c r="F703" s="130" t="str">
        <f aca="false">IF(A703="","",MIN(E703/(37.5),1))</f>
        <v/>
      </c>
      <c r="G703" s="108"/>
      <c r="H703" s="106"/>
      <c r="I703" s="107"/>
      <c r="J703" s="131" t="str">
        <f aca="false" t="array" ref="J703:J703">IF(A703="","",ifs(AND(D703=1,H703="Pagas prorrateadas"),2705.41*(F703*G703),AND(D703=1,H703="Pagas no prorrateadas"),2318.93*(F703*G703),AND(D703=2,H703="Pagas prorrateadas"),2246.07*(F703*G703),AND(D703=2,H703="Pagas no prorrateadas"),1925.21*(F703*G703),AND(D703=3,H703="Pagas prorrateadas"),1775.44*(F703*G703),AND(D703=3,H703="Pagas no prorrateadas"),1521.81*(F703*G703),AND(D703=5,H703="Pagas prorrateadas"),1535.9*(F703*G703),AND(D703=5,H703="Pagas no prorrateadas"),1316.49*(F703*G703),AND(D703=7,H703="Pagas prorrateadas"),1493.61*(F703*G703),AND(D703=7,H703="Pagas no prorrateadas"),1280.24*(F703*G703)))</f>
        <v/>
      </c>
      <c r="K703" s="106" t="str">
        <f aca="false">IF(A703="","",IF(J703-I703&gt;=0,"OK",J703-I703))</f>
        <v/>
      </c>
    </row>
    <row r="704" customFormat="false" ht="14.25" hidden="false" customHeight="true" outlineLevel="0" collapsed="false">
      <c r="A704" s="106"/>
      <c r="B704" s="106"/>
      <c r="C704" s="107"/>
      <c r="D704" s="106"/>
      <c r="E704" s="106"/>
      <c r="F704" s="130" t="str">
        <f aca="false">IF(A704="","",MIN(E704/(37.5),1))</f>
        <v/>
      </c>
      <c r="G704" s="108"/>
      <c r="H704" s="106"/>
      <c r="I704" s="107"/>
      <c r="J704" s="131" t="str">
        <f aca="false" t="array" ref="J704:J704">IF(A704="","",ifs(AND(D704=1,H704="Pagas prorrateadas"),2705.41*(F704*G704),AND(D704=1,H704="Pagas no prorrateadas"),2318.93*(F704*G704),AND(D704=2,H704="Pagas prorrateadas"),2246.07*(F704*G704),AND(D704=2,H704="Pagas no prorrateadas"),1925.21*(F704*G704),AND(D704=3,H704="Pagas prorrateadas"),1775.44*(F704*G704),AND(D704=3,H704="Pagas no prorrateadas"),1521.81*(F704*G704),AND(D704=5,H704="Pagas prorrateadas"),1535.9*(F704*G704),AND(D704=5,H704="Pagas no prorrateadas"),1316.49*(F704*G704),AND(D704=7,H704="Pagas prorrateadas"),1493.61*(F704*G704),AND(D704=7,H704="Pagas no prorrateadas"),1280.24*(F704*G704)))</f>
        <v/>
      </c>
      <c r="K704" s="106" t="str">
        <f aca="false">IF(A704="","",IF(J704-I704&gt;=0,"OK",J704-I704))</f>
        <v/>
      </c>
    </row>
    <row r="705" customFormat="false" ht="14.25" hidden="false" customHeight="true" outlineLevel="0" collapsed="false">
      <c r="A705" s="106"/>
      <c r="B705" s="106"/>
      <c r="C705" s="107"/>
      <c r="D705" s="106"/>
      <c r="E705" s="106"/>
      <c r="F705" s="130" t="str">
        <f aca="false">IF(A705="","",MIN(E705/(37.5),1))</f>
        <v/>
      </c>
      <c r="G705" s="108"/>
      <c r="H705" s="106"/>
      <c r="I705" s="107"/>
      <c r="J705" s="131" t="str">
        <f aca="false" t="array" ref="J705:J705">IF(A705="","",ifs(AND(D705=1,H705="Pagas prorrateadas"),2705.41*(F705*G705),AND(D705=1,H705="Pagas no prorrateadas"),2318.93*(F705*G705),AND(D705=2,H705="Pagas prorrateadas"),2246.07*(F705*G705),AND(D705=2,H705="Pagas no prorrateadas"),1925.21*(F705*G705),AND(D705=3,H705="Pagas prorrateadas"),1775.44*(F705*G705),AND(D705=3,H705="Pagas no prorrateadas"),1521.81*(F705*G705),AND(D705=5,H705="Pagas prorrateadas"),1535.9*(F705*G705),AND(D705=5,H705="Pagas no prorrateadas"),1316.49*(F705*G705),AND(D705=7,H705="Pagas prorrateadas"),1493.61*(F705*G705),AND(D705=7,H705="Pagas no prorrateadas"),1280.24*(F705*G705)))</f>
        <v/>
      </c>
      <c r="K705" s="106" t="str">
        <f aca="false">IF(A705="","",IF(J705-I705&gt;=0,"OK",J705-I705))</f>
        <v/>
      </c>
    </row>
    <row r="706" customFormat="false" ht="14.25" hidden="false" customHeight="true" outlineLevel="0" collapsed="false">
      <c r="A706" s="106"/>
      <c r="B706" s="106"/>
      <c r="C706" s="107"/>
      <c r="D706" s="106"/>
      <c r="E706" s="106"/>
      <c r="F706" s="130" t="str">
        <f aca="false">IF(A706="","",MIN(E706/(37.5),1))</f>
        <v/>
      </c>
      <c r="G706" s="108"/>
      <c r="H706" s="106"/>
      <c r="I706" s="107"/>
      <c r="J706" s="131" t="str">
        <f aca="false" t="array" ref="J706:J706">IF(A706="","",ifs(AND(D706=1,H706="Pagas prorrateadas"),2705.41*(F706*G706),AND(D706=1,H706="Pagas no prorrateadas"),2318.93*(F706*G706),AND(D706=2,H706="Pagas prorrateadas"),2246.07*(F706*G706),AND(D706=2,H706="Pagas no prorrateadas"),1925.21*(F706*G706),AND(D706=3,H706="Pagas prorrateadas"),1775.44*(F706*G706),AND(D706=3,H706="Pagas no prorrateadas"),1521.81*(F706*G706),AND(D706=5,H706="Pagas prorrateadas"),1535.9*(F706*G706),AND(D706=5,H706="Pagas no prorrateadas"),1316.49*(F706*G706),AND(D706=7,H706="Pagas prorrateadas"),1493.61*(F706*G706),AND(D706=7,H706="Pagas no prorrateadas"),1280.24*(F706*G706)))</f>
        <v/>
      </c>
      <c r="K706" s="106" t="str">
        <f aca="false">IF(A706="","",IF(J706-I706&gt;=0,"OK",J706-I706))</f>
        <v/>
      </c>
    </row>
    <row r="707" customFormat="false" ht="14.25" hidden="false" customHeight="true" outlineLevel="0" collapsed="false">
      <c r="A707" s="106"/>
      <c r="B707" s="106"/>
      <c r="C707" s="107"/>
      <c r="D707" s="106"/>
      <c r="E707" s="106"/>
      <c r="F707" s="130" t="str">
        <f aca="false">IF(A707="","",MIN(E707/(37.5),1))</f>
        <v/>
      </c>
      <c r="G707" s="108"/>
      <c r="H707" s="106"/>
      <c r="I707" s="107"/>
      <c r="J707" s="131" t="str">
        <f aca="false" t="array" ref="J707:J707">IF(A707="","",ifs(AND(D707=1,H707="Pagas prorrateadas"),2705.41*(F707*G707),AND(D707=1,H707="Pagas no prorrateadas"),2318.93*(F707*G707),AND(D707=2,H707="Pagas prorrateadas"),2246.07*(F707*G707),AND(D707=2,H707="Pagas no prorrateadas"),1925.21*(F707*G707),AND(D707=3,H707="Pagas prorrateadas"),1775.44*(F707*G707),AND(D707=3,H707="Pagas no prorrateadas"),1521.81*(F707*G707),AND(D707=5,H707="Pagas prorrateadas"),1535.9*(F707*G707),AND(D707=5,H707="Pagas no prorrateadas"),1316.49*(F707*G707),AND(D707=7,H707="Pagas prorrateadas"),1493.61*(F707*G707),AND(D707=7,H707="Pagas no prorrateadas"),1280.24*(F707*G707)))</f>
        <v/>
      </c>
      <c r="K707" s="106" t="str">
        <f aca="false">IF(A707="","",IF(J707-I707&gt;=0,"OK",J707-I707))</f>
        <v/>
      </c>
    </row>
    <row r="708" customFormat="false" ht="14.25" hidden="false" customHeight="true" outlineLevel="0" collapsed="false">
      <c r="A708" s="106"/>
      <c r="B708" s="106"/>
      <c r="C708" s="107"/>
      <c r="D708" s="106"/>
      <c r="E708" s="106"/>
      <c r="F708" s="130" t="str">
        <f aca="false">IF(A708="","",MIN(E708/(37.5),1))</f>
        <v/>
      </c>
      <c r="G708" s="108"/>
      <c r="H708" s="106"/>
      <c r="I708" s="107"/>
      <c r="J708" s="131" t="str">
        <f aca="false" t="array" ref="J708:J708">IF(A708="","",ifs(AND(D708=1,H708="Pagas prorrateadas"),2705.41*(F708*G708),AND(D708=1,H708="Pagas no prorrateadas"),2318.93*(F708*G708),AND(D708=2,H708="Pagas prorrateadas"),2246.07*(F708*G708),AND(D708=2,H708="Pagas no prorrateadas"),1925.21*(F708*G708),AND(D708=3,H708="Pagas prorrateadas"),1775.44*(F708*G708),AND(D708=3,H708="Pagas no prorrateadas"),1521.81*(F708*G708),AND(D708=5,H708="Pagas prorrateadas"),1535.9*(F708*G708),AND(D708=5,H708="Pagas no prorrateadas"),1316.49*(F708*G708),AND(D708=7,H708="Pagas prorrateadas"),1493.61*(F708*G708),AND(D708=7,H708="Pagas no prorrateadas"),1280.24*(F708*G708)))</f>
        <v/>
      </c>
      <c r="K708" s="106" t="str">
        <f aca="false">IF(A708="","",IF(J708-I708&gt;=0,"OK",J708-I708))</f>
        <v/>
      </c>
    </row>
    <row r="709" customFormat="false" ht="14.25" hidden="false" customHeight="true" outlineLevel="0" collapsed="false">
      <c r="A709" s="106"/>
      <c r="B709" s="106"/>
      <c r="C709" s="107"/>
      <c r="D709" s="106"/>
      <c r="E709" s="106"/>
      <c r="F709" s="130" t="str">
        <f aca="false">IF(A709="","",MIN(E709/(37.5),1))</f>
        <v/>
      </c>
      <c r="G709" s="108"/>
      <c r="H709" s="106"/>
      <c r="I709" s="107"/>
      <c r="J709" s="131" t="str">
        <f aca="false" t="array" ref="J709:J709">IF(A709="","",ifs(AND(D709=1,H709="Pagas prorrateadas"),2705.41*(F709*G709),AND(D709=1,H709="Pagas no prorrateadas"),2318.93*(F709*G709),AND(D709=2,H709="Pagas prorrateadas"),2246.07*(F709*G709),AND(D709=2,H709="Pagas no prorrateadas"),1925.21*(F709*G709),AND(D709=3,H709="Pagas prorrateadas"),1775.44*(F709*G709),AND(D709=3,H709="Pagas no prorrateadas"),1521.81*(F709*G709),AND(D709=5,H709="Pagas prorrateadas"),1535.9*(F709*G709),AND(D709=5,H709="Pagas no prorrateadas"),1316.49*(F709*G709),AND(D709=7,H709="Pagas prorrateadas"),1493.61*(F709*G709),AND(D709=7,H709="Pagas no prorrateadas"),1280.24*(F709*G709)))</f>
        <v/>
      </c>
      <c r="K709" s="106" t="str">
        <f aca="false">IF(A709="","",IF(J709-I709&gt;=0,"OK",J709-I709))</f>
        <v/>
      </c>
    </row>
    <row r="710" customFormat="false" ht="14.25" hidden="false" customHeight="true" outlineLevel="0" collapsed="false">
      <c r="A710" s="106"/>
      <c r="B710" s="106"/>
      <c r="C710" s="107"/>
      <c r="D710" s="106"/>
      <c r="E710" s="106"/>
      <c r="F710" s="130" t="str">
        <f aca="false">IF(A710="","",MIN(E710/(37.5),1))</f>
        <v/>
      </c>
      <c r="G710" s="108"/>
      <c r="H710" s="106"/>
      <c r="I710" s="107"/>
      <c r="J710" s="131" t="str">
        <f aca="false" t="array" ref="J710:J710">IF(A710="","",ifs(AND(D710=1,H710="Pagas prorrateadas"),2705.41*(F710*G710),AND(D710=1,H710="Pagas no prorrateadas"),2318.93*(F710*G710),AND(D710=2,H710="Pagas prorrateadas"),2246.07*(F710*G710),AND(D710=2,H710="Pagas no prorrateadas"),1925.21*(F710*G710),AND(D710=3,H710="Pagas prorrateadas"),1775.44*(F710*G710),AND(D710=3,H710="Pagas no prorrateadas"),1521.81*(F710*G710),AND(D710=5,H710="Pagas prorrateadas"),1535.9*(F710*G710),AND(D710=5,H710="Pagas no prorrateadas"),1316.49*(F710*G710),AND(D710=7,H710="Pagas prorrateadas"),1493.61*(F710*G710),AND(D710=7,H710="Pagas no prorrateadas"),1280.24*(F710*G710)))</f>
        <v/>
      </c>
      <c r="K710" s="106" t="str">
        <f aca="false">IF(A710="","",IF(J710-I710&gt;=0,"OK",J710-I710))</f>
        <v/>
      </c>
    </row>
    <row r="711" customFormat="false" ht="14.25" hidden="false" customHeight="true" outlineLevel="0" collapsed="false">
      <c r="A711" s="106"/>
      <c r="B711" s="106"/>
      <c r="C711" s="107"/>
      <c r="D711" s="106"/>
      <c r="E711" s="106"/>
      <c r="F711" s="130" t="str">
        <f aca="false">IF(A711="","",MIN(E711/(37.5),1))</f>
        <v/>
      </c>
      <c r="G711" s="108"/>
      <c r="H711" s="106"/>
      <c r="I711" s="107"/>
      <c r="J711" s="131" t="str">
        <f aca="false" t="array" ref="J711:J711">IF(A711="","",ifs(AND(D711=1,H711="Pagas prorrateadas"),2705.41*(F711*G711),AND(D711=1,H711="Pagas no prorrateadas"),2318.93*(F711*G711),AND(D711=2,H711="Pagas prorrateadas"),2246.07*(F711*G711),AND(D711=2,H711="Pagas no prorrateadas"),1925.21*(F711*G711),AND(D711=3,H711="Pagas prorrateadas"),1775.44*(F711*G711),AND(D711=3,H711="Pagas no prorrateadas"),1521.81*(F711*G711),AND(D711=5,H711="Pagas prorrateadas"),1535.9*(F711*G711),AND(D711=5,H711="Pagas no prorrateadas"),1316.49*(F711*G711),AND(D711=7,H711="Pagas prorrateadas"),1493.61*(F711*G711),AND(D711=7,H711="Pagas no prorrateadas"),1280.24*(F711*G711)))</f>
        <v/>
      </c>
      <c r="K711" s="106" t="str">
        <f aca="false">IF(A711="","",IF(J711-I711&gt;=0,"OK",J711-I711))</f>
        <v/>
      </c>
    </row>
    <row r="712" customFormat="false" ht="14.25" hidden="false" customHeight="true" outlineLevel="0" collapsed="false">
      <c r="A712" s="106"/>
      <c r="B712" s="106"/>
      <c r="C712" s="107"/>
      <c r="D712" s="106"/>
      <c r="E712" s="106"/>
      <c r="F712" s="130" t="str">
        <f aca="false">IF(A712="","",MIN(E712/(37.5),1))</f>
        <v/>
      </c>
      <c r="G712" s="108"/>
      <c r="H712" s="106"/>
      <c r="I712" s="107"/>
      <c r="J712" s="131" t="str">
        <f aca="false" t="array" ref="J712:J712">IF(A712="","",ifs(AND(D712=1,H712="Pagas prorrateadas"),2705.41*(F712*G712),AND(D712=1,H712="Pagas no prorrateadas"),2318.93*(F712*G712),AND(D712=2,H712="Pagas prorrateadas"),2246.07*(F712*G712),AND(D712=2,H712="Pagas no prorrateadas"),1925.21*(F712*G712),AND(D712=3,H712="Pagas prorrateadas"),1775.44*(F712*G712),AND(D712=3,H712="Pagas no prorrateadas"),1521.81*(F712*G712),AND(D712=5,H712="Pagas prorrateadas"),1535.9*(F712*G712),AND(D712=5,H712="Pagas no prorrateadas"),1316.49*(F712*G712),AND(D712=7,H712="Pagas prorrateadas"),1493.61*(F712*G712),AND(D712=7,H712="Pagas no prorrateadas"),1280.24*(F712*G712)))</f>
        <v/>
      </c>
      <c r="K712" s="106" t="str">
        <f aca="false">IF(A712="","",IF(J712-I712&gt;=0,"OK",J712-I712))</f>
        <v/>
      </c>
    </row>
    <row r="713" customFormat="false" ht="14.25" hidden="false" customHeight="true" outlineLevel="0" collapsed="false">
      <c r="A713" s="106"/>
      <c r="B713" s="106"/>
      <c r="C713" s="107"/>
      <c r="D713" s="106"/>
      <c r="E713" s="106"/>
      <c r="F713" s="130" t="str">
        <f aca="false">IF(A713="","",MIN(E713/(37.5),1))</f>
        <v/>
      </c>
      <c r="G713" s="108"/>
      <c r="H713" s="106"/>
      <c r="I713" s="107"/>
      <c r="J713" s="131" t="str">
        <f aca="false" t="array" ref="J713:J713">IF(A713="","",ifs(AND(D713=1,H713="Pagas prorrateadas"),2705.41*(F713*G713),AND(D713=1,H713="Pagas no prorrateadas"),2318.93*(F713*G713),AND(D713=2,H713="Pagas prorrateadas"),2246.07*(F713*G713),AND(D713=2,H713="Pagas no prorrateadas"),1925.21*(F713*G713),AND(D713=3,H713="Pagas prorrateadas"),1775.44*(F713*G713),AND(D713=3,H713="Pagas no prorrateadas"),1521.81*(F713*G713),AND(D713=5,H713="Pagas prorrateadas"),1535.9*(F713*G713),AND(D713=5,H713="Pagas no prorrateadas"),1316.49*(F713*G713),AND(D713=7,H713="Pagas prorrateadas"),1493.61*(F713*G713),AND(D713=7,H713="Pagas no prorrateadas"),1280.24*(F713*G713)))</f>
        <v/>
      </c>
      <c r="K713" s="106" t="str">
        <f aca="false">IF(A713="","",IF(J713-I713&gt;=0,"OK",J713-I713))</f>
        <v/>
      </c>
    </row>
    <row r="714" customFormat="false" ht="14.25" hidden="false" customHeight="true" outlineLevel="0" collapsed="false">
      <c r="A714" s="106"/>
      <c r="B714" s="106"/>
      <c r="C714" s="107"/>
      <c r="D714" s="106"/>
      <c r="E714" s="106"/>
      <c r="F714" s="130" t="str">
        <f aca="false">IF(A714="","",MIN(E714/(37.5),1))</f>
        <v/>
      </c>
      <c r="G714" s="108"/>
      <c r="H714" s="106"/>
      <c r="I714" s="107"/>
      <c r="J714" s="131" t="str">
        <f aca="false" t="array" ref="J714:J714">IF(A714="","",ifs(AND(D714=1,H714="Pagas prorrateadas"),2705.41*(F714*G714),AND(D714=1,H714="Pagas no prorrateadas"),2318.93*(F714*G714),AND(D714=2,H714="Pagas prorrateadas"),2246.07*(F714*G714),AND(D714=2,H714="Pagas no prorrateadas"),1925.21*(F714*G714),AND(D714=3,H714="Pagas prorrateadas"),1775.44*(F714*G714),AND(D714=3,H714="Pagas no prorrateadas"),1521.81*(F714*G714),AND(D714=5,H714="Pagas prorrateadas"),1535.9*(F714*G714),AND(D714=5,H714="Pagas no prorrateadas"),1316.49*(F714*G714),AND(D714=7,H714="Pagas prorrateadas"),1493.61*(F714*G714),AND(D714=7,H714="Pagas no prorrateadas"),1280.24*(F714*G714)))</f>
        <v/>
      </c>
      <c r="K714" s="106" t="str">
        <f aca="false">IF(A714="","",IF(J714-I714&gt;=0,"OK",J714-I714))</f>
        <v/>
      </c>
    </row>
    <row r="715" customFormat="false" ht="14.25" hidden="false" customHeight="true" outlineLevel="0" collapsed="false">
      <c r="A715" s="106"/>
      <c r="B715" s="106"/>
      <c r="C715" s="107"/>
      <c r="D715" s="106"/>
      <c r="E715" s="106"/>
      <c r="F715" s="130" t="str">
        <f aca="false">IF(A715="","",MIN(E715/(37.5),1))</f>
        <v/>
      </c>
      <c r="G715" s="108"/>
      <c r="H715" s="106"/>
      <c r="I715" s="107"/>
      <c r="J715" s="131" t="str">
        <f aca="false" t="array" ref="J715:J715">IF(A715="","",ifs(AND(D715=1,H715="Pagas prorrateadas"),2705.41*(F715*G715),AND(D715=1,H715="Pagas no prorrateadas"),2318.93*(F715*G715),AND(D715=2,H715="Pagas prorrateadas"),2246.07*(F715*G715),AND(D715=2,H715="Pagas no prorrateadas"),1925.21*(F715*G715),AND(D715=3,H715="Pagas prorrateadas"),1775.44*(F715*G715),AND(D715=3,H715="Pagas no prorrateadas"),1521.81*(F715*G715),AND(D715=5,H715="Pagas prorrateadas"),1535.9*(F715*G715),AND(D715=5,H715="Pagas no prorrateadas"),1316.49*(F715*G715),AND(D715=7,H715="Pagas prorrateadas"),1493.61*(F715*G715),AND(D715=7,H715="Pagas no prorrateadas"),1280.24*(F715*G715)))</f>
        <v/>
      </c>
      <c r="K715" s="106" t="str">
        <f aca="false">IF(A715="","",IF(J715-I715&gt;=0,"OK",J715-I715))</f>
        <v/>
      </c>
    </row>
    <row r="716" customFormat="false" ht="14.25" hidden="false" customHeight="true" outlineLevel="0" collapsed="false">
      <c r="A716" s="106"/>
      <c r="B716" s="106"/>
      <c r="C716" s="107"/>
      <c r="D716" s="106"/>
      <c r="E716" s="106"/>
      <c r="F716" s="130" t="str">
        <f aca="false">IF(A716="","",MIN(E716/(37.5),1))</f>
        <v/>
      </c>
      <c r="G716" s="108"/>
      <c r="H716" s="106"/>
      <c r="I716" s="107"/>
      <c r="J716" s="131" t="str">
        <f aca="false" t="array" ref="J716:J716">IF(A716="","",ifs(AND(D716=1,H716="Pagas prorrateadas"),2705.41*(F716*G716),AND(D716=1,H716="Pagas no prorrateadas"),2318.93*(F716*G716),AND(D716=2,H716="Pagas prorrateadas"),2246.07*(F716*G716),AND(D716=2,H716="Pagas no prorrateadas"),1925.21*(F716*G716),AND(D716=3,H716="Pagas prorrateadas"),1775.44*(F716*G716),AND(D716=3,H716="Pagas no prorrateadas"),1521.81*(F716*G716),AND(D716=5,H716="Pagas prorrateadas"),1535.9*(F716*G716),AND(D716=5,H716="Pagas no prorrateadas"),1316.49*(F716*G716),AND(D716=7,H716="Pagas prorrateadas"),1493.61*(F716*G716),AND(D716=7,H716="Pagas no prorrateadas"),1280.24*(F716*G716)))</f>
        <v/>
      </c>
      <c r="K716" s="106" t="str">
        <f aca="false">IF(A716="","",IF(J716-I716&gt;=0,"OK",J716-I716))</f>
        <v/>
      </c>
    </row>
    <row r="717" customFormat="false" ht="14.25" hidden="false" customHeight="true" outlineLevel="0" collapsed="false">
      <c r="A717" s="106"/>
      <c r="B717" s="106"/>
      <c r="C717" s="107"/>
      <c r="D717" s="106"/>
      <c r="E717" s="106"/>
      <c r="F717" s="130" t="str">
        <f aca="false">IF(A717="","",MIN(E717/(37.5),1))</f>
        <v/>
      </c>
      <c r="G717" s="108"/>
      <c r="H717" s="106"/>
      <c r="I717" s="107"/>
      <c r="J717" s="131" t="str">
        <f aca="false" t="array" ref="J717:J717">IF(A717="","",ifs(AND(D717=1,H717="Pagas prorrateadas"),2705.41*(F717*G717),AND(D717=1,H717="Pagas no prorrateadas"),2318.93*(F717*G717),AND(D717=2,H717="Pagas prorrateadas"),2246.07*(F717*G717),AND(D717=2,H717="Pagas no prorrateadas"),1925.21*(F717*G717),AND(D717=3,H717="Pagas prorrateadas"),1775.44*(F717*G717),AND(D717=3,H717="Pagas no prorrateadas"),1521.81*(F717*G717),AND(D717=5,H717="Pagas prorrateadas"),1535.9*(F717*G717),AND(D717=5,H717="Pagas no prorrateadas"),1316.49*(F717*G717),AND(D717=7,H717="Pagas prorrateadas"),1493.61*(F717*G717),AND(D717=7,H717="Pagas no prorrateadas"),1280.24*(F717*G717)))</f>
        <v/>
      </c>
      <c r="K717" s="106" t="str">
        <f aca="false">IF(A717="","",IF(J717-I717&gt;=0,"OK",J717-I717))</f>
        <v/>
      </c>
    </row>
    <row r="718" customFormat="false" ht="14.25" hidden="false" customHeight="true" outlineLevel="0" collapsed="false">
      <c r="A718" s="106"/>
      <c r="B718" s="106"/>
      <c r="C718" s="107"/>
      <c r="D718" s="106"/>
      <c r="E718" s="106"/>
      <c r="F718" s="130" t="str">
        <f aca="false">IF(A718="","",MIN(E718/(37.5),1))</f>
        <v/>
      </c>
      <c r="G718" s="108"/>
      <c r="H718" s="106"/>
      <c r="I718" s="107"/>
      <c r="J718" s="131" t="str">
        <f aca="false" t="array" ref="J718:J718">IF(A718="","",ifs(AND(D718=1,H718="Pagas prorrateadas"),2705.41*(F718*G718),AND(D718=1,H718="Pagas no prorrateadas"),2318.93*(F718*G718),AND(D718=2,H718="Pagas prorrateadas"),2246.07*(F718*G718),AND(D718=2,H718="Pagas no prorrateadas"),1925.21*(F718*G718),AND(D718=3,H718="Pagas prorrateadas"),1775.44*(F718*G718),AND(D718=3,H718="Pagas no prorrateadas"),1521.81*(F718*G718),AND(D718=5,H718="Pagas prorrateadas"),1535.9*(F718*G718),AND(D718=5,H718="Pagas no prorrateadas"),1316.49*(F718*G718),AND(D718=7,H718="Pagas prorrateadas"),1493.61*(F718*G718),AND(D718=7,H718="Pagas no prorrateadas"),1280.24*(F718*G718)))</f>
        <v/>
      </c>
      <c r="K718" s="106" t="str">
        <f aca="false">IF(A718="","",IF(J718-I718&gt;=0,"OK",J718-I718))</f>
        <v/>
      </c>
    </row>
    <row r="719" customFormat="false" ht="14.25" hidden="false" customHeight="true" outlineLevel="0" collapsed="false">
      <c r="A719" s="106"/>
      <c r="B719" s="106"/>
      <c r="C719" s="107"/>
      <c r="D719" s="106"/>
      <c r="E719" s="106"/>
      <c r="F719" s="130" t="str">
        <f aca="false">IF(A719="","",MIN(E719/(37.5),1))</f>
        <v/>
      </c>
      <c r="G719" s="108"/>
      <c r="H719" s="106"/>
      <c r="I719" s="107"/>
      <c r="J719" s="131" t="str">
        <f aca="false" t="array" ref="J719:J719">IF(A719="","",ifs(AND(D719=1,H719="Pagas prorrateadas"),2705.41*(F719*G719),AND(D719=1,H719="Pagas no prorrateadas"),2318.93*(F719*G719),AND(D719=2,H719="Pagas prorrateadas"),2246.07*(F719*G719),AND(D719=2,H719="Pagas no prorrateadas"),1925.21*(F719*G719),AND(D719=3,H719="Pagas prorrateadas"),1775.44*(F719*G719),AND(D719=3,H719="Pagas no prorrateadas"),1521.81*(F719*G719),AND(D719=5,H719="Pagas prorrateadas"),1535.9*(F719*G719),AND(D719=5,H719="Pagas no prorrateadas"),1316.49*(F719*G719),AND(D719=7,H719="Pagas prorrateadas"),1493.61*(F719*G719),AND(D719=7,H719="Pagas no prorrateadas"),1280.24*(F719*G719)))</f>
        <v/>
      </c>
      <c r="K719" s="106" t="str">
        <f aca="false">IF(A719="","",IF(J719-I719&gt;=0,"OK",J719-I719))</f>
        <v/>
      </c>
    </row>
    <row r="720" customFormat="false" ht="14.25" hidden="false" customHeight="true" outlineLevel="0" collapsed="false">
      <c r="A720" s="106"/>
      <c r="B720" s="106"/>
      <c r="C720" s="107"/>
      <c r="D720" s="106"/>
      <c r="E720" s="106"/>
      <c r="F720" s="130" t="str">
        <f aca="false">IF(A720="","",MIN(E720/(37.5),1))</f>
        <v/>
      </c>
      <c r="G720" s="108"/>
      <c r="H720" s="106"/>
      <c r="I720" s="107"/>
      <c r="J720" s="131" t="str">
        <f aca="false" t="array" ref="J720:J720">IF(A720="","",ifs(AND(D720=1,H720="Pagas prorrateadas"),2705.41*(F720*G720),AND(D720=1,H720="Pagas no prorrateadas"),2318.93*(F720*G720),AND(D720=2,H720="Pagas prorrateadas"),2246.07*(F720*G720),AND(D720=2,H720="Pagas no prorrateadas"),1925.21*(F720*G720),AND(D720=3,H720="Pagas prorrateadas"),1775.44*(F720*G720),AND(D720=3,H720="Pagas no prorrateadas"),1521.81*(F720*G720),AND(D720=5,H720="Pagas prorrateadas"),1535.9*(F720*G720),AND(D720=5,H720="Pagas no prorrateadas"),1316.49*(F720*G720),AND(D720=7,H720="Pagas prorrateadas"),1493.61*(F720*G720),AND(D720=7,H720="Pagas no prorrateadas"),1280.24*(F720*G720)))</f>
        <v/>
      </c>
      <c r="K720" s="106" t="str">
        <f aca="false">IF(A720="","",IF(J720-I720&gt;=0,"OK",J720-I720))</f>
        <v/>
      </c>
    </row>
    <row r="721" customFormat="false" ht="14.25" hidden="false" customHeight="true" outlineLevel="0" collapsed="false">
      <c r="A721" s="106"/>
      <c r="B721" s="106"/>
      <c r="C721" s="107"/>
      <c r="D721" s="106"/>
      <c r="E721" s="106"/>
      <c r="F721" s="130" t="str">
        <f aca="false">IF(A721="","",MIN(E721/(37.5),1))</f>
        <v/>
      </c>
      <c r="G721" s="108"/>
      <c r="H721" s="106"/>
      <c r="I721" s="107"/>
      <c r="J721" s="131" t="str">
        <f aca="false" t="array" ref="J721:J721">IF(A721="","",ifs(AND(D721=1,H721="Pagas prorrateadas"),2705.41*(F721*G721),AND(D721=1,H721="Pagas no prorrateadas"),2318.93*(F721*G721),AND(D721=2,H721="Pagas prorrateadas"),2246.07*(F721*G721),AND(D721=2,H721="Pagas no prorrateadas"),1925.21*(F721*G721),AND(D721=3,H721="Pagas prorrateadas"),1775.44*(F721*G721),AND(D721=3,H721="Pagas no prorrateadas"),1521.81*(F721*G721),AND(D721=5,H721="Pagas prorrateadas"),1535.9*(F721*G721),AND(D721=5,H721="Pagas no prorrateadas"),1316.49*(F721*G721),AND(D721=7,H721="Pagas prorrateadas"),1493.61*(F721*G721),AND(D721=7,H721="Pagas no prorrateadas"),1280.24*(F721*G721)))</f>
        <v/>
      </c>
      <c r="K721" s="106" t="str">
        <f aca="false">IF(A721="","",IF(J721-I721&gt;=0,"OK",J721-I721))</f>
        <v/>
      </c>
    </row>
    <row r="722" customFormat="false" ht="14.25" hidden="false" customHeight="true" outlineLevel="0" collapsed="false">
      <c r="A722" s="106"/>
      <c r="B722" s="106"/>
      <c r="C722" s="107"/>
      <c r="D722" s="106"/>
      <c r="E722" s="106"/>
      <c r="F722" s="130" t="str">
        <f aca="false">IF(A722="","",MIN(E722/(37.5),1))</f>
        <v/>
      </c>
      <c r="G722" s="108"/>
      <c r="H722" s="106"/>
      <c r="I722" s="107"/>
      <c r="J722" s="131" t="str">
        <f aca="false" t="array" ref="J722:J722">IF(A722="","",ifs(AND(D722=1,H722="Pagas prorrateadas"),2705.41*(F722*G722),AND(D722=1,H722="Pagas no prorrateadas"),2318.93*(F722*G722),AND(D722=2,H722="Pagas prorrateadas"),2246.07*(F722*G722),AND(D722=2,H722="Pagas no prorrateadas"),1925.21*(F722*G722),AND(D722=3,H722="Pagas prorrateadas"),1775.44*(F722*G722),AND(D722=3,H722="Pagas no prorrateadas"),1521.81*(F722*G722),AND(D722=5,H722="Pagas prorrateadas"),1535.9*(F722*G722),AND(D722=5,H722="Pagas no prorrateadas"),1316.49*(F722*G722),AND(D722=7,H722="Pagas prorrateadas"),1493.61*(F722*G722),AND(D722=7,H722="Pagas no prorrateadas"),1280.24*(F722*G722)))</f>
        <v/>
      </c>
      <c r="K722" s="106" t="str">
        <f aca="false">IF(A722="","",IF(J722-I722&gt;=0,"OK",J722-I722))</f>
        <v/>
      </c>
    </row>
    <row r="723" customFormat="false" ht="14.25" hidden="false" customHeight="true" outlineLevel="0" collapsed="false">
      <c r="A723" s="106"/>
      <c r="B723" s="106"/>
      <c r="C723" s="107"/>
      <c r="D723" s="106"/>
      <c r="E723" s="106"/>
      <c r="F723" s="130" t="str">
        <f aca="false">IF(A723="","",MIN(E723/(37.5),1))</f>
        <v/>
      </c>
      <c r="G723" s="108"/>
      <c r="H723" s="106"/>
      <c r="I723" s="107"/>
      <c r="J723" s="131" t="str">
        <f aca="false" t="array" ref="J723:J723">IF(A723="","",ifs(AND(D723=1,H723="Pagas prorrateadas"),2705.41*(F723*G723),AND(D723=1,H723="Pagas no prorrateadas"),2318.93*(F723*G723),AND(D723=2,H723="Pagas prorrateadas"),2246.07*(F723*G723),AND(D723=2,H723="Pagas no prorrateadas"),1925.21*(F723*G723),AND(D723=3,H723="Pagas prorrateadas"),1775.44*(F723*G723),AND(D723=3,H723="Pagas no prorrateadas"),1521.81*(F723*G723),AND(D723=5,H723="Pagas prorrateadas"),1535.9*(F723*G723),AND(D723=5,H723="Pagas no prorrateadas"),1316.49*(F723*G723),AND(D723=7,H723="Pagas prorrateadas"),1493.61*(F723*G723),AND(D723=7,H723="Pagas no prorrateadas"),1280.24*(F723*G723)))</f>
        <v/>
      </c>
      <c r="K723" s="106" t="str">
        <f aca="false">IF(A723="","",IF(J723-I723&gt;=0,"OK",J723-I723))</f>
        <v/>
      </c>
    </row>
    <row r="724" customFormat="false" ht="14.25" hidden="false" customHeight="true" outlineLevel="0" collapsed="false">
      <c r="A724" s="106"/>
      <c r="B724" s="106"/>
      <c r="C724" s="107"/>
      <c r="D724" s="106"/>
      <c r="E724" s="106"/>
      <c r="F724" s="130" t="str">
        <f aca="false">IF(A724="","",MIN(E724/(37.5),1))</f>
        <v/>
      </c>
      <c r="G724" s="108"/>
      <c r="H724" s="106"/>
      <c r="I724" s="107"/>
      <c r="J724" s="131" t="str">
        <f aca="false" t="array" ref="J724:J724">IF(A724="","",ifs(AND(D724=1,H724="Pagas prorrateadas"),2705.41*(F724*G724),AND(D724=1,H724="Pagas no prorrateadas"),2318.93*(F724*G724),AND(D724=2,H724="Pagas prorrateadas"),2246.07*(F724*G724),AND(D724=2,H724="Pagas no prorrateadas"),1925.21*(F724*G724),AND(D724=3,H724="Pagas prorrateadas"),1775.44*(F724*G724),AND(D724=3,H724="Pagas no prorrateadas"),1521.81*(F724*G724),AND(D724=5,H724="Pagas prorrateadas"),1535.9*(F724*G724),AND(D724=5,H724="Pagas no prorrateadas"),1316.49*(F724*G724),AND(D724=7,H724="Pagas prorrateadas"),1493.61*(F724*G724),AND(D724=7,H724="Pagas no prorrateadas"),1280.24*(F724*G724)))</f>
        <v/>
      </c>
      <c r="K724" s="106" t="str">
        <f aca="false">IF(A724="","",IF(J724-I724&gt;=0,"OK",J724-I724))</f>
        <v/>
      </c>
    </row>
    <row r="725" customFormat="false" ht="14.25" hidden="false" customHeight="true" outlineLevel="0" collapsed="false">
      <c r="A725" s="106"/>
      <c r="B725" s="106"/>
      <c r="C725" s="107"/>
      <c r="D725" s="106"/>
      <c r="E725" s="106"/>
      <c r="F725" s="130" t="str">
        <f aca="false">IF(A725="","",MIN(E725/(37.5),1))</f>
        <v/>
      </c>
      <c r="G725" s="108"/>
      <c r="H725" s="106"/>
      <c r="I725" s="107"/>
      <c r="J725" s="131" t="str">
        <f aca="false" t="array" ref="J725:J725">IF(A725="","",ifs(AND(D725=1,H725="Pagas prorrateadas"),2705.41*(F725*G725),AND(D725=1,H725="Pagas no prorrateadas"),2318.93*(F725*G725),AND(D725=2,H725="Pagas prorrateadas"),2246.07*(F725*G725),AND(D725=2,H725="Pagas no prorrateadas"),1925.21*(F725*G725),AND(D725=3,H725="Pagas prorrateadas"),1775.44*(F725*G725),AND(D725=3,H725="Pagas no prorrateadas"),1521.81*(F725*G725),AND(D725=5,H725="Pagas prorrateadas"),1535.9*(F725*G725),AND(D725=5,H725="Pagas no prorrateadas"),1316.49*(F725*G725),AND(D725=7,H725="Pagas prorrateadas"),1493.61*(F725*G725),AND(D725=7,H725="Pagas no prorrateadas"),1280.24*(F725*G725)))</f>
        <v/>
      </c>
      <c r="K725" s="106" t="str">
        <f aca="false">IF(A725="","",IF(J725-I725&gt;=0,"OK",J725-I725))</f>
        <v/>
      </c>
    </row>
    <row r="726" customFormat="false" ht="14.25" hidden="false" customHeight="true" outlineLevel="0" collapsed="false">
      <c r="A726" s="106"/>
      <c r="B726" s="106"/>
      <c r="C726" s="107"/>
      <c r="D726" s="106"/>
      <c r="E726" s="106"/>
      <c r="F726" s="130" t="str">
        <f aca="false">IF(A726="","",MIN(E726/(37.5),1))</f>
        <v/>
      </c>
      <c r="G726" s="108"/>
      <c r="H726" s="106"/>
      <c r="I726" s="107"/>
      <c r="J726" s="131" t="str">
        <f aca="false" t="array" ref="J726:J726">IF(A726="","",ifs(AND(D726=1,H726="Pagas prorrateadas"),2705.41*(F726*G726),AND(D726=1,H726="Pagas no prorrateadas"),2318.93*(F726*G726),AND(D726=2,H726="Pagas prorrateadas"),2246.07*(F726*G726),AND(D726=2,H726="Pagas no prorrateadas"),1925.21*(F726*G726),AND(D726=3,H726="Pagas prorrateadas"),1775.44*(F726*G726),AND(D726=3,H726="Pagas no prorrateadas"),1521.81*(F726*G726),AND(D726=5,H726="Pagas prorrateadas"),1535.9*(F726*G726),AND(D726=5,H726="Pagas no prorrateadas"),1316.49*(F726*G726),AND(D726=7,H726="Pagas prorrateadas"),1493.61*(F726*G726),AND(D726=7,H726="Pagas no prorrateadas"),1280.24*(F726*G726)))</f>
        <v/>
      </c>
      <c r="K726" s="106" t="str">
        <f aca="false">IF(A726="","",IF(J726-I726&gt;=0,"OK",J726-I726))</f>
        <v/>
      </c>
    </row>
    <row r="727" customFormat="false" ht="14.25" hidden="false" customHeight="true" outlineLevel="0" collapsed="false">
      <c r="A727" s="106"/>
      <c r="B727" s="106"/>
      <c r="C727" s="107"/>
      <c r="D727" s="106"/>
      <c r="E727" s="106"/>
      <c r="F727" s="130" t="str">
        <f aca="false">IF(A727="","",MIN(E727/(37.5),1))</f>
        <v/>
      </c>
      <c r="G727" s="108"/>
      <c r="H727" s="106"/>
      <c r="I727" s="107"/>
      <c r="J727" s="131" t="str">
        <f aca="false" t="array" ref="J727:J727">IF(A727="","",ifs(AND(D727=1,H727="Pagas prorrateadas"),2705.41*(F727*G727),AND(D727=1,H727="Pagas no prorrateadas"),2318.93*(F727*G727),AND(D727=2,H727="Pagas prorrateadas"),2246.07*(F727*G727),AND(D727=2,H727="Pagas no prorrateadas"),1925.21*(F727*G727),AND(D727=3,H727="Pagas prorrateadas"),1775.44*(F727*G727),AND(D727=3,H727="Pagas no prorrateadas"),1521.81*(F727*G727),AND(D727=5,H727="Pagas prorrateadas"),1535.9*(F727*G727),AND(D727=5,H727="Pagas no prorrateadas"),1316.49*(F727*G727),AND(D727=7,H727="Pagas prorrateadas"),1493.61*(F727*G727),AND(D727=7,H727="Pagas no prorrateadas"),1280.24*(F727*G727)))</f>
        <v/>
      </c>
      <c r="K727" s="106" t="str">
        <f aca="false">IF(A727="","",IF(J727-I727&gt;=0,"OK",J727-I727))</f>
        <v/>
      </c>
    </row>
    <row r="728" customFormat="false" ht="14.25" hidden="false" customHeight="true" outlineLevel="0" collapsed="false">
      <c r="A728" s="106"/>
      <c r="B728" s="106"/>
      <c r="C728" s="107"/>
      <c r="D728" s="106"/>
      <c r="E728" s="106"/>
      <c r="F728" s="130" t="str">
        <f aca="false">IF(A728="","",MIN(E728/(37.5),1))</f>
        <v/>
      </c>
      <c r="G728" s="108"/>
      <c r="H728" s="106"/>
      <c r="I728" s="107"/>
      <c r="J728" s="131" t="str">
        <f aca="false" t="array" ref="J728:J728">IF(A728="","",ifs(AND(D728=1,H728="Pagas prorrateadas"),2705.41*(F728*G728),AND(D728=1,H728="Pagas no prorrateadas"),2318.93*(F728*G728),AND(D728=2,H728="Pagas prorrateadas"),2246.07*(F728*G728),AND(D728=2,H728="Pagas no prorrateadas"),1925.21*(F728*G728),AND(D728=3,H728="Pagas prorrateadas"),1775.44*(F728*G728),AND(D728=3,H728="Pagas no prorrateadas"),1521.81*(F728*G728),AND(D728=5,H728="Pagas prorrateadas"),1535.9*(F728*G728),AND(D728=5,H728="Pagas no prorrateadas"),1316.49*(F728*G728),AND(D728=7,H728="Pagas prorrateadas"),1493.61*(F728*G728),AND(D728=7,H728="Pagas no prorrateadas"),1280.24*(F728*G728)))</f>
        <v/>
      </c>
      <c r="K728" s="106" t="str">
        <f aca="false">IF(A728="","",IF(J728-I728&gt;=0,"OK",J728-I728))</f>
        <v/>
      </c>
    </row>
    <row r="729" customFormat="false" ht="14.25" hidden="false" customHeight="true" outlineLevel="0" collapsed="false">
      <c r="A729" s="106"/>
      <c r="B729" s="106"/>
      <c r="C729" s="107"/>
      <c r="D729" s="106"/>
      <c r="E729" s="106"/>
      <c r="F729" s="130" t="str">
        <f aca="false">IF(A729="","",MIN(E729/(37.5),1))</f>
        <v/>
      </c>
      <c r="G729" s="108"/>
      <c r="H729" s="106"/>
      <c r="I729" s="107"/>
      <c r="J729" s="131" t="str">
        <f aca="false" t="array" ref="J729:J729">IF(A729="","",ifs(AND(D729=1,H729="Pagas prorrateadas"),2705.41*(F729*G729),AND(D729=1,H729="Pagas no prorrateadas"),2318.93*(F729*G729),AND(D729=2,H729="Pagas prorrateadas"),2246.07*(F729*G729),AND(D729=2,H729="Pagas no prorrateadas"),1925.21*(F729*G729),AND(D729=3,H729="Pagas prorrateadas"),1775.44*(F729*G729),AND(D729=3,H729="Pagas no prorrateadas"),1521.81*(F729*G729),AND(D729=5,H729="Pagas prorrateadas"),1535.9*(F729*G729),AND(D729=5,H729="Pagas no prorrateadas"),1316.49*(F729*G729),AND(D729=7,H729="Pagas prorrateadas"),1493.61*(F729*G729),AND(D729=7,H729="Pagas no prorrateadas"),1280.24*(F729*G729)))</f>
        <v/>
      </c>
      <c r="K729" s="106" t="str">
        <f aca="false">IF(A729="","",IF(J729-I729&gt;=0,"OK",J729-I729))</f>
        <v/>
      </c>
    </row>
    <row r="730" customFormat="false" ht="14.25" hidden="false" customHeight="true" outlineLevel="0" collapsed="false">
      <c r="A730" s="106"/>
      <c r="B730" s="106"/>
      <c r="C730" s="107"/>
      <c r="D730" s="106"/>
      <c r="E730" s="106"/>
      <c r="F730" s="130" t="str">
        <f aca="false">IF(A730="","",MIN(E730/(37.5),1))</f>
        <v/>
      </c>
      <c r="G730" s="108"/>
      <c r="H730" s="106"/>
      <c r="I730" s="107"/>
      <c r="J730" s="131" t="str">
        <f aca="false" t="array" ref="J730:J730">IF(A730="","",ifs(AND(D730=1,H730="Pagas prorrateadas"),2705.41*(F730*G730),AND(D730=1,H730="Pagas no prorrateadas"),2318.93*(F730*G730),AND(D730=2,H730="Pagas prorrateadas"),2246.07*(F730*G730),AND(D730=2,H730="Pagas no prorrateadas"),1925.21*(F730*G730),AND(D730=3,H730="Pagas prorrateadas"),1775.44*(F730*G730),AND(D730=3,H730="Pagas no prorrateadas"),1521.81*(F730*G730),AND(D730=5,H730="Pagas prorrateadas"),1535.9*(F730*G730),AND(D730=5,H730="Pagas no prorrateadas"),1316.49*(F730*G730),AND(D730=7,H730="Pagas prorrateadas"),1493.61*(F730*G730),AND(D730=7,H730="Pagas no prorrateadas"),1280.24*(F730*G730)))</f>
        <v/>
      </c>
      <c r="K730" s="106" t="str">
        <f aca="false">IF(A730="","",IF(J730-I730&gt;=0,"OK",J730-I730))</f>
        <v/>
      </c>
    </row>
    <row r="731" customFormat="false" ht="14.25" hidden="false" customHeight="true" outlineLevel="0" collapsed="false">
      <c r="A731" s="106"/>
      <c r="B731" s="106"/>
      <c r="C731" s="107"/>
      <c r="D731" s="106"/>
      <c r="E731" s="106"/>
      <c r="F731" s="130" t="str">
        <f aca="false">IF(A731="","",MIN(E731/(37.5),1))</f>
        <v/>
      </c>
      <c r="G731" s="108"/>
      <c r="H731" s="106"/>
      <c r="I731" s="107"/>
      <c r="J731" s="131" t="str">
        <f aca="false" t="array" ref="J731:J731">IF(A731="","",ifs(AND(D731=1,H731="Pagas prorrateadas"),2705.41*(F731*G731),AND(D731=1,H731="Pagas no prorrateadas"),2318.93*(F731*G731),AND(D731=2,H731="Pagas prorrateadas"),2246.07*(F731*G731),AND(D731=2,H731="Pagas no prorrateadas"),1925.21*(F731*G731),AND(D731=3,H731="Pagas prorrateadas"),1775.44*(F731*G731),AND(D731=3,H731="Pagas no prorrateadas"),1521.81*(F731*G731),AND(D731=5,H731="Pagas prorrateadas"),1535.9*(F731*G731),AND(D731=5,H731="Pagas no prorrateadas"),1316.49*(F731*G731),AND(D731=7,H731="Pagas prorrateadas"),1493.61*(F731*G731),AND(D731=7,H731="Pagas no prorrateadas"),1280.24*(F731*G731)))</f>
        <v/>
      </c>
      <c r="K731" s="106" t="str">
        <f aca="false">IF(A731="","",IF(J731-I731&gt;=0,"OK",J731-I731))</f>
        <v/>
      </c>
    </row>
    <row r="732" customFormat="false" ht="14.25" hidden="false" customHeight="true" outlineLevel="0" collapsed="false">
      <c r="A732" s="106"/>
      <c r="B732" s="106"/>
      <c r="C732" s="107"/>
      <c r="D732" s="106"/>
      <c r="E732" s="106"/>
      <c r="F732" s="130" t="str">
        <f aca="false">IF(A732="","",MIN(E732/(37.5),1))</f>
        <v/>
      </c>
      <c r="G732" s="108"/>
      <c r="H732" s="106"/>
      <c r="I732" s="107"/>
      <c r="J732" s="131" t="str">
        <f aca="false" t="array" ref="J732:J732">IF(A732="","",ifs(AND(D732=1,H732="Pagas prorrateadas"),2705.41*(F732*G732),AND(D732=1,H732="Pagas no prorrateadas"),2318.93*(F732*G732),AND(D732=2,H732="Pagas prorrateadas"),2246.07*(F732*G732),AND(D732=2,H732="Pagas no prorrateadas"),1925.21*(F732*G732),AND(D732=3,H732="Pagas prorrateadas"),1775.44*(F732*G732),AND(D732=3,H732="Pagas no prorrateadas"),1521.81*(F732*G732),AND(D732=5,H732="Pagas prorrateadas"),1535.9*(F732*G732),AND(D732=5,H732="Pagas no prorrateadas"),1316.49*(F732*G732),AND(D732=7,H732="Pagas prorrateadas"),1493.61*(F732*G732),AND(D732=7,H732="Pagas no prorrateadas"),1280.24*(F732*G732)))</f>
        <v/>
      </c>
      <c r="K732" s="106" t="str">
        <f aca="false">IF(A732="","",IF(J732-I732&gt;=0,"OK",J732-I732))</f>
        <v/>
      </c>
    </row>
    <row r="733" customFormat="false" ht="14.25" hidden="false" customHeight="true" outlineLevel="0" collapsed="false">
      <c r="A733" s="106"/>
      <c r="B733" s="106"/>
      <c r="C733" s="107"/>
      <c r="D733" s="106"/>
      <c r="E733" s="106"/>
      <c r="F733" s="130" t="str">
        <f aca="false">IF(A733="","",MIN(E733/(37.5),1))</f>
        <v/>
      </c>
      <c r="G733" s="108"/>
      <c r="H733" s="106"/>
      <c r="I733" s="107"/>
      <c r="J733" s="131" t="str">
        <f aca="false" t="array" ref="J733:J733">IF(A733="","",ifs(AND(D733=1,H733="Pagas prorrateadas"),2705.41*(F733*G733),AND(D733=1,H733="Pagas no prorrateadas"),2318.93*(F733*G733),AND(D733=2,H733="Pagas prorrateadas"),2246.07*(F733*G733),AND(D733=2,H733="Pagas no prorrateadas"),1925.21*(F733*G733),AND(D733=3,H733="Pagas prorrateadas"),1775.44*(F733*G733),AND(D733=3,H733="Pagas no prorrateadas"),1521.81*(F733*G733),AND(D733=5,H733="Pagas prorrateadas"),1535.9*(F733*G733),AND(D733=5,H733="Pagas no prorrateadas"),1316.49*(F733*G733),AND(D733=7,H733="Pagas prorrateadas"),1493.61*(F733*G733),AND(D733=7,H733="Pagas no prorrateadas"),1280.24*(F733*G733)))</f>
        <v/>
      </c>
      <c r="K733" s="106" t="str">
        <f aca="false">IF(A733="","",IF(J733-I733&gt;=0,"OK",J733-I733))</f>
        <v/>
      </c>
    </row>
    <row r="734" customFormat="false" ht="14.25" hidden="false" customHeight="true" outlineLevel="0" collapsed="false">
      <c r="A734" s="106"/>
      <c r="B734" s="106"/>
      <c r="C734" s="107"/>
      <c r="D734" s="106"/>
      <c r="E734" s="106"/>
      <c r="F734" s="130" t="str">
        <f aca="false">IF(A734="","",MIN(E734/(37.5),1))</f>
        <v/>
      </c>
      <c r="G734" s="108"/>
      <c r="H734" s="106"/>
      <c r="I734" s="107"/>
      <c r="J734" s="131" t="str">
        <f aca="false" t="array" ref="J734:J734">IF(A734="","",ifs(AND(D734=1,H734="Pagas prorrateadas"),2705.41*(F734*G734),AND(D734=1,H734="Pagas no prorrateadas"),2318.93*(F734*G734),AND(D734=2,H734="Pagas prorrateadas"),2246.07*(F734*G734),AND(D734=2,H734="Pagas no prorrateadas"),1925.21*(F734*G734),AND(D734=3,H734="Pagas prorrateadas"),1775.44*(F734*G734),AND(D734=3,H734="Pagas no prorrateadas"),1521.81*(F734*G734),AND(D734=5,H734="Pagas prorrateadas"),1535.9*(F734*G734),AND(D734=5,H734="Pagas no prorrateadas"),1316.49*(F734*G734),AND(D734=7,H734="Pagas prorrateadas"),1493.61*(F734*G734),AND(D734=7,H734="Pagas no prorrateadas"),1280.24*(F734*G734)))</f>
        <v/>
      </c>
      <c r="K734" s="106" t="str">
        <f aca="false">IF(A734="","",IF(J734-I734&gt;=0,"OK",J734-I734))</f>
        <v/>
      </c>
    </row>
    <row r="735" customFormat="false" ht="14.25" hidden="false" customHeight="true" outlineLevel="0" collapsed="false">
      <c r="A735" s="106"/>
      <c r="B735" s="106"/>
      <c r="C735" s="107"/>
      <c r="D735" s="106"/>
      <c r="E735" s="106"/>
      <c r="F735" s="130" t="str">
        <f aca="false">IF(A735="","",MIN(E735/(37.5),1))</f>
        <v/>
      </c>
      <c r="G735" s="108"/>
      <c r="H735" s="106"/>
      <c r="I735" s="107"/>
      <c r="J735" s="131" t="str">
        <f aca="false" t="array" ref="J735:J735">IF(A735="","",ifs(AND(D735=1,H735="Pagas prorrateadas"),2705.41*(F735*G735),AND(D735=1,H735="Pagas no prorrateadas"),2318.93*(F735*G735),AND(D735=2,H735="Pagas prorrateadas"),2246.07*(F735*G735),AND(D735=2,H735="Pagas no prorrateadas"),1925.21*(F735*G735),AND(D735=3,H735="Pagas prorrateadas"),1775.44*(F735*G735),AND(D735=3,H735="Pagas no prorrateadas"),1521.81*(F735*G735),AND(D735=5,H735="Pagas prorrateadas"),1535.9*(F735*G735),AND(D735=5,H735="Pagas no prorrateadas"),1316.49*(F735*G735),AND(D735=7,H735="Pagas prorrateadas"),1493.61*(F735*G735),AND(D735=7,H735="Pagas no prorrateadas"),1280.24*(F735*G735)))</f>
        <v/>
      </c>
      <c r="K735" s="106" t="str">
        <f aca="false">IF(A735="","",IF(J735-I735&gt;=0,"OK",J735-I735))</f>
        <v/>
      </c>
    </row>
    <row r="736" customFormat="false" ht="14.25" hidden="false" customHeight="true" outlineLevel="0" collapsed="false">
      <c r="A736" s="106"/>
      <c r="B736" s="106"/>
      <c r="C736" s="107"/>
      <c r="D736" s="106"/>
      <c r="E736" s="106"/>
      <c r="F736" s="130" t="str">
        <f aca="false">IF(A736="","",MIN(E736/(37.5),1))</f>
        <v/>
      </c>
      <c r="G736" s="108"/>
      <c r="H736" s="106"/>
      <c r="I736" s="107"/>
      <c r="J736" s="131" t="str">
        <f aca="false" t="array" ref="J736:J736">IF(A736="","",ifs(AND(D736=1,H736="Pagas prorrateadas"),2705.41*(F736*G736),AND(D736=1,H736="Pagas no prorrateadas"),2318.93*(F736*G736),AND(D736=2,H736="Pagas prorrateadas"),2246.07*(F736*G736),AND(D736=2,H736="Pagas no prorrateadas"),1925.21*(F736*G736),AND(D736=3,H736="Pagas prorrateadas"),1775.44*(F736*G736),AND(D736=3,H736="Pagas no prorrateadas"),1521.81*(F736*G736),AND(D736=5,H736="Pagas prorrateadas"),1535.9*(F736*G736),AND(D736=5,H736="Pagas no prorrateadas"),1316.49*(F736*G736),AND(D736=7,H736="Pagas prorrateadas"),1493.61*(F736*G736),AND(D736=7,H736="Pagas no prorrateadas"),1280.24*(F736*G736)))</f>
        <v/>
      </c>
      <c r="K736" s="106" t="str">
        <f aca="false">IF(A736="","",IF(J736-I736&gt;=0,"OK",J736-I736))</f>
        <v/>
      </c>
    </row>
    <row r="737" customFormat="false" ht="14.25" hidden="false" customHeight="true" outlineLevel="0" collapsed="false">
      <c r="A737" s="106"/>
      <c r="B737" s="106"/>
      <c r="C737" s="107"/>
      <c r="D737" s="106"/>
      <c r="E737" s="106"/>
      <c r="F737" s="130" t="str">
        <f aca="false">IF(A737="","",MIN(E737/(37.5),1))</f>
        <v/>
      </c>
      <c r="G737" s="108"/>
      <c r="H737" s="106"/>
      <c r="I737" s="107"/>
      <c r="J737" s="131" t="str">
        <f aca="false" t="array" ref="J737:J737">IF(A737="","",ifs(AND(D737=1,H737="Pagas prorrateadas"),2705.41*(F737*G737),AND(D737=1,H737="Pagas no prorrateadas"),2318.93*(F737*G737),AND(D737=2,H737="Pagas prorrateadas"),2246.07*(F737*G737),AND(D737=2,H737="Pagas no prorrateadas"),1925.21*(F737*G737),AND(D737=3,H737="Pagas prorrateadas"),1775.44*(F737*G737),AND(D737=3,H737="Pagas no prorrateadas"),1521.81*(F737*G737),AND(D737=5,H737="Pagas prorrateadas"),1535.9*(F737*G737),AND(D737=5,H737="Pagas no prorrateadas"),1316.49*(F737*G737),AND(D737=7,H737="Pagas prorrateadas"),1493.61*(F737*G737),AND(D737=7,H737="Pagas no prorrateadas"),1280.24*(F737*G737)))</f>
        <v/>
      </c>
      <c r="K737" s="106" t="str">
        <f aca="false">IF(A737="","",IF(J737-I737&gt;=0,"OK",J737-I737))</f>
        <v/>
      </c>
    </row>
    <row r="738" customFormat="false" ht="14.25" hidden="false" customHeight="true" outlineLevel="0" collapsed="false">
      <c r="A738" s="106"/>
      <c r="B738" s="106"/>
      <c r="C738" s="107"/>
      <c r="D738" s="106"/>
      <c r="E738" s="106"/>
      <c r="F738" s="130" t="str">
        <f aca="false">IF(A738="","",MIN(E738/(37.5),1))</f>
        <v/>
      </c>
      <c r="G738" s="108"/>
      <c r="H738" s="106"/>
      <c r="I738" s="107"/>
      <c r="J738" s="131" t="str">
        <f aca="false" t="array" ref="J738:J738">IF(A738="","",ifs(AND(D738=1,H738="Pagas prorrateadas"),2705.41*(F738*G738),AND(D738=1,H738="Pagas no prorrateadas"),2318.93*(F738*G738),AND(D738=2,H738="Pagas prorrateadas"),2246.07*(F738*G738),AND(D738=2,H738="Pagas no prorrateadas"),1925.21*(F738*G738),AND(D738=3,H738="Pagas prorrateadas"),1775.44*(F738*G738),AND(D738=3,H738="Pagas no prorrateadas"),1521.81*(F738*G738),AND(D738=5,H738="Pagas prorrateadas"),1535.9*(F738*G738),AND(D738=5,H738="Pagas no prorrateadas"),1316.49*(F738*G738),AND(D738=7,H738="Pagas prorrateadas"),1493.61*(F738*G738),AND(D738=7,H738="Pagas no prorrateadas"),1280.24*(F738*G738)))</f>
        <v/>
      </c>
      <c r="K738" s="106" t="str">
        <f aca="false">IF(A738="","",IF(J738-I738&gt;=0,"OK",J738-I738))</f>
        <v/>
      </c>
    </row>
    <row r="739" customFormat="false" ht="14.25" hidden="false" customHeight="true" outlineLevel="0" collapsed="false">
      <c r="A739" s="106"/>
      <c r="B739" s="106"/>
      <c r="C739" s="107"/>
      <c r="D739" s="106"/>
      <c r="E739" s="106"/>
      <c r="F739" s="130" t="str">
        <f aca="false">IF(A739="","",MIN(E739/(37.5),1))</f>
        <v/>
      </c>
      <c r="G739" s="108"/>
      <c r="H739" s="106"/>
      <c r="I739" s="107"/>
      <c r="J739" s="131" t="str">
        <f aca="false" t="array" ref="J739:J739">IF(A739="","",ifs(AND(D739=1,H739="Pagas prorrateadas"),2705.41*(F739*G739),AND(D739=1,H739="Pagas no prorrateadas"),2318.93*(F739*G739),AND(D739=2,H739="Pagas prorrateadas"),2246.07*(F739*G739),AND(D739=2,H739="Pagas no prorrateadas"),1925.21*(F739*G739),AND(D739=3,H739="Pagas prorrateadas"),1775.44*(F739*G739),AND(D739=3,H739="Pagas no prorrateadas"),1521.81*(F739*G739),AND(D739=5,H739="Pagas prorrateadas"),1535.9*(F739*G739),AND(D739=5,H739="Pagas no prorrateadas"),1316.49*(F739*G739),AND(D739=7,H739="Pagas prorrateadas"),1493.61*(F739*G739),AND(D739=7,H739="Pagas no prorrateadas"),1280.24*(F739*G739)))</f>
        <v/>
      </c>
      <c r="K739" s="106" t="str">
        <f aca="false">IF(A739="","",IF(J739-I739&gt;=0,"OK",J739-I739))</f>
        <v/>
      </c>
    </row>
    <row r="740" customFormat="false" ht="14.25" hidden="false" customHeight="true" outlineLevel="0" collapsed="false">
      <c r="A740" s="106"/>
      <c r="B740" s="106"/>
      <c r="C740" s="107"/>
      <c r="D740" s="106"/>
      <c r="E740" s="106"/>
      <c r="F740" s="130" t="str">
        <f aca="false">IF(A740="","",MIN(E740/(37.5),1))</f>
        <v/>
      </c>
      <c r="G740" s="108"/>
      <c r="H740" s="106"/>
      <c r="I740" s="107"/>
      <c r="J740" s="131" t="str">
        <f aca="false" t="array" ref="J740:J740">IF(A740="","",ifs(AND(D740=1,H740="Pagas prorrateadas"),2705.41*(F740*G740),AND(D740=1,H740="Pagas no prorrateadas"),2318.93*(F740*G740),AND(D740=2,H740="Pagas prorrateadas"),2246.07*(F740*G740),AND(D740=2,H740="Pagas no prorrateadas"),1925.21*(F740*G740),AND(D740=3,H740="Pagas prorrateadas"),1775.44*(F740*G740),AND(D740=3,H740="Pagas no prorrateadas"),1521.81*(F740*G740),AND(D740=5,H740="Pagas prorrateadas"),1535.9*(F740*G740),AND(D740=5,H740="Pagas no prorrateadas"),1316.49*(F740*G740),AND(D740=7,H740="Pagas prorrateadas"),1493.61*(F740*G740),AND(D740=7,H740="Pagas no prorrateadas"),1280.24*(F740*G740)))</f>
        <v/>
      </c>
      <c r="K740" s="106" t="str">
        <f aca="false">IF(A740="","",IF(J740-I740&gt;=0,"OK",J740-I740))</f>
        <v/>
      </c>
    </row>
    <row r="741" customFormat="false" ht="14.25" hidden="false" customHeight="true" outlineLevel="0" collapsed="false">
      <c r="A741" s="106"/>
      <c r="B741" s="106"/>
      <c r="C741" s="107"/>
      <c r="D741" s="106"/>
      <c r="E741" s="106"/>
      <c r="F741" s="130" t="str">
        <f aca="false">IF(A741="","",MIN(E741/(37.5),1))</f>
        <v/>
      </c>
      <c r="G741" s="108"/>
      <c r="H741" s="106"/>
      <c r="I741" s="107"/>
      <c r="J741" s="131" t="str">
        <f aca="false" t="array" ref="J741:J741">IF(A741="","",ifs(AND(D741=1,H741="Pagas prorrateadas"),2705.41*(F741*G741),AND(D741=1,H741="Pagas no prorrateadas"),2318.93*(F741*G741),AND(D741=2,H741="Pagas prorrateadas"),2246.07*(F741*G741),AND(D741=2,H741="Pagas no prorrateadas"),1925.21*(F741*G741),AND(D741=3,H741="Pagas prorrateadas"),1775.44*(F741*G741),AND(D741=3,H741="Pagas no prorrateadas"),1521.81*(F741*G741),AND(D741=5,H741="Pagas prorrateadas"),1535.9*(F741*G741),AND(D741=5,H741="Pagas no prorrateadas"),1316.49*(F741*G741),AND(D741=7,H741="Pagas prorrateadas"),1493.61*(F741*G741),AND(D741=7,H741="Pagas no prorrateadas"),1280.24*(F741*G741)))</f>
        <v/>
      </c>
      <c r="K741" s="106" t="str">
        <f aca="false">IF(A741="","",IF(J741-I741&gt;=0,"OK",J741-I741))</f>
        <v/>
      </c>
    </row>
    <row r="742" customFormat="false" ht="14.25" hidden="false" customHeight="true" outlineLevel="0" collapsed="false">
      <c r="A742" s="106"/>
      <c r="B742" s="106"/>
      <c r="C742" s="107"/>
      <c r="D742" s="106"/>
      <c r="E742" s="106"/>
      <c r="F742" s="130" t="str">
        <f aca="false">IF(A742="","",MIN(E742/(37.5),1))</f>
        <v/>
      </c>
      <c r="G742" s="108"/>
      <c r="H742" s="106"/>
      <c r="I742" s="107"/>
      <c r="J742" s="131" t="str">
        <f aca="false" t="array" ref="J742:J742">IF(A742="","",ifs(AND(D742=1,H742="Pagas prorrateadas"),2705.41*(F742*G742),AND(D742=1,H742="Pagas no prorrateadas"),2318.93*(F742*G742),AND(D742=2,H742="Pagas prorrateadas"),2246.07*(F742*G742),AND(D742=2,H742="Pagas no prorrateadas"),1925.21*(F742*G742),AND(D742=3,H742="Pagas prorrateadas"),1775.44*(F742*G742),AND(D742=3,H742="Pagas no prorrateadas"),1521.81*(F742*G742),AND(D742=5,H742="Pagas prorrateadas"),1535.9*(F742*G742),AND(D742=5,H742="Pagas no prorrateadas"),1316.49*(F742*G742),AND(D742=7,H742="Pagas prorrateadas"),1493.61*(F742*G742),AND(D742=7,H742="Pagas no prorrateadas"),1280.24*(F742*G742)))</f>
        <v/>
      </c>
      <c r="K742" s="106" t="str">
        <f aca="false">IF(A742="","",IF(J742-I742&gt;=0,"OK",J742-I742))</f>
        <v/>
      </c>
    </row>
    <row r="743" customFormat="false" ht="14.25" hidden="false" customHeight="true" outlineLevel="0" collapsed="false">
      <c r="A743" s="106"/>
      <c r="B743" s="106"/>
      <c r="C743" s="107"/>
      <c r="D743" s="106"/>
      <c r="E743" s="106"/>
      <c r="F743" s="130" t="str">
        <f aca="false">IF(A743="","",MIN(E743/(37.5),1))</f>
        <v/>
      </c>
      <c r="G743" s="108"/>
      <c r="H743" s="106"/>
      <c r="I743" s="107"/>
      <c r="J743" s="131" t="str">
        <f aca="false" t="array" ref="J743:J743">IF(A743="","",ifs(AND(D743=1,H743="Pagas prorrateadas"),2705.41*(F743*G743),AND(D743=1,H743="Pagas no prorrateadas"),2318.93*(F743*G743),AND(D743=2,H743="Pagas prorrateadas"),2246.07*(F743*G743),AND(D743=2,H743="Pagas no prorrateadas"),1925.21*(F743*G743),AND(D743=3,H743="Pagas prorrateadas"),1775.44*(F743*G743),AND(D743=3,H743="Pagas no prorrateadas"),1521.81*(F743*G743),AND(D743=5,H743="Pagas prorrateadas"),1535.9*(F743*G743),AND(D743=5,H743="Pagas no prorrateadas"),1316.49*(F743*G743),AND(D743=7,H743="Pagas prorrateadas"),1493.61*(F743*G743),AND(D743=7,H743="Pagas no prorrateadas"),1280.24*(F743*G743)))</f>
        <v/>
      </c>
      <c r="K743" s="106" t="str">
        <f aca="false">IF(A743="","",IF(J743-I743&gt;=0,"OK",J743-I743))</f>
        <v/>
      </c>
    </row>
    <row r="744" customFormat="false" ht="14.25" hidden="false" customHeight="true" outlineLevel="0" collapsed="false">
      <c r="A744" s="106"/>
      <c r="B744" s="106"/>
      <c r="C744" s="107"/>
      <c r="D744" s="106"/>
      <c r="E744" s="106"/>
      <c r="F744" s="130" t="str">
        <f aca="false">IF(A744="","",MIN(E744/(37.5),1))</f>
        <v/>
      </c>
      <c r="G744" s="108"/>
      <c r="H744" s="106"/>
      <c r="I744" s="107"/>
      <c r="J744" s="131" t="str">
        <f aca="false" t="array" ref="J744:J744">IF(A744="","",ifs(AND(D744=1,H744="Pagas prorrateadas"),2705.41*(F744*G744),AND(D744=1,H744="Pagas no prorrateadas"),2318.93*(F744*G744),AND(D744=2,H744="Pagas prorrateadas"),2246.07*(F744*G744),AND(D744=2,H744="Pagas no prorrateadas"),1925.21*(F744*G744),AND(D744=3,H744="Pagas prorrateadas"),1775.44*(F744*G744),AND(D744=3,H744="Pagas no prorrateadas"),1521.81*(F744*G744),AND(D744=5,H744="Pagas prorrateadas"),1535.9*(F744*G744),AND(D744=5,H744="Pagas no prorrateadas"),1316.49*(F744*G744),AND(D744=7,H744="Pagas prorrateadas"),1493.61*(F744*G744),AND(D744=7,H744="Pagas no prorrateadas"),1280.24*(F744*G744)))</f>
        <v/>
      </c>
      <c r="K744" s="106" t="str">
        <f aca="false">IF(A744="","",IF(J744-I744&gt;=0,"OK",J744-I744))</f>
        <v/>
      </c>
    </row>
    <row r="745" customFormat="false" ht="14.25" hidden="false" customHeight="true" outlineLevel="0" collapsed="false">
      <c r="A745" s="106"/>
      <c r="B745" s="106"/>
      <c r="C745" s="107"/>
      <c r="D745" s="106"/>
      <c r="E745" s="106"/>
      <c r="F745" s="130" t="str">
        <f aca="false">IF(A745="","",MIN(E745/(37.5),1))</f>
        <v/>
      </c>
      <c r="G745" s="108"/>
      <c r="H745" s="106"/>
      <c r="I745" s="107"/>
      <c r="J745" s="131" t="str">
        <f aca="false" t="array" ref="J745:J745">IF(A745="","",ifs(AND(D745=1,H745="Pagas prorrateadas"),2705.41*(F745*G745),AND(D745=1,H745="Pagas no prorrateadas"),2318.93*(F745*G745),AND(D745=2,H745="Pagas prorrateadas"),2246.07*(F745*G745),AND(D745=2,H745="Pagas no prorrateadas"),1925.21*(F745*G745),AND(D745=3,H745="Pagas prorrateadas"),1775.44*(F745*G745),AND(D745=3,H745="Pagas no prorrateadas"),1521.81*(F745*G745),AND(D745=5,H745="Pagas prorrateadas"),1535.9*(F745*G745),AND(D745=5,H745="Pagas no prorrateadas"),1316.49*(F745*G745),AND(D745=7,H745="Pagas prorrateadas"),1493.61*(F745*G745),AND(D745=7,H745="Pagas no prorrateadas"),1280.24*(F745*G745)))</f>
        <v/>
      </c>
      <c r="K745" s="106" t="str">
        <f aca="false">IF(A745="","",IF(J745-I745&gt;=0,"OK",J745-I745))</f>
        <v/>
      </c>
    </row>
    <row r="746" customFormat="false" ht="14.25" hidden="false" customHeight="true" outlineLevel="0" collapsed="false">
      <c r="A746" s="106"/>
      <c r="B746" s="106"/>
      <c r="C746" s="107"/>
      <c r="D746" s="106"/>
      <c r="E746" s="106"/>
      <c r="F746" s="130" t="str">
        <f aca="false">IF(A746="","",MIN(E746/(37.5),1))</f>
        <v/>
      </c>
      <c r="G746" s="108"/>
      <c r="H746" s="106"/>
      <c r="I746" s="107"/>
      <c r="J746" s="131" t="str">
        <f aca="false" t="array" ref="J746:J746">IF(A746="","",ifs(AND(D746=1,H746="Pagas prorrateadas"),2705.41*(F746*G746),AND(D746=1,H746="Pagas no prorrateadas"),2318.93*(F746*G746),AND(D746=2,H746="Pagas prorrateadas"),2246.07*(F746*G746),AND(D746=2,H746="Pagas no prorrateadas"),1925.21*(F746*G746),AND(D746=3,H746="Pagas prorrateadas"),1775.44*(F746*G746),AND(D746=3,H746="Pagas no prorrateadas"),1521.81*(F746*G746),AND(D746=5,H746="Pagas prorrateadas"),1535.9*(F746*G746),AND(D746=5,H746="Pagas no prorrateadas"),1316.49*(F746*G746),AND(D746=7,H746="Pagas prorrateadas"),1493.61*(F746*G746),AND(D746=7,H746="Pagas no prorrateadas"),1280.24*(F746*G746)))</f>
        <v/>
      </c>
      <c r="K746" s="106" t="str">
        <f aca="false">IF(A746="","",IF(J746-I746&gt;=0,"OK",J746-I746))</f>
        <v/>
      </c>
    </row>
    <row r="747" customFormat="false" ht="14.25" hidden="false" customHeight="true" outlineLevel="0" collapsed="false">
      <c r="A747" s="106"/>
      <c r="B747" s="106"/>
      <c r="C747" s="107"/>
      <c r="D747" s="106"/>
      <c r="E747" s="106"/>
      <c r="F747" s="130" t="str">
        <f aca="false">IF(A747="","",MIN(E747/(37.5),1))</f>
        <v/>
      </c>
      <c r="G747" s="108"/>
      <c r="H747" s="106"/>
      <c r="I747" s="107"/>
      <c r="J747" s="131" t="str">
        <f aca="false" t="array" ref="J747:J747">IF(A747="","",ifs(AND(D747=1,H747="Pagas prorrateadas"),2705.41*(F747*G747),AND(D747=1,H747="Pagas no prorrateadas"),2318.93*(F747*G747),AND(D747=2,H747="Pagas prorrateadas"),2246.07*(F747*G747),AND(D747=2,H747="Pagas no prorrateadas"),1925.21*(F747*G747),AND(D747=3,H747="Pagas prorrateadas"),1775.44*(F747*G747),AND(D747=3,H747="Pagas no prorrateadas"),1521.81*(F747*G747),AND(D747=5,H747="Pagas prorrateadas"),1535.9*(F747*G747),AND(D747=5,H747="Pagas no prorrateadas"),1316.49*(F747*G747),AND(D747=7,H747="Pagas prorrateadas"),1493.61*(F747*G747),AND(D747=7,H747="Pagas no prorrateadas"),1280.24*(F747*G747)))</f>
        <v/>
      </c>
      <c r="K747" s="106" t="str">
        <f aca="false">IF(A747="","",IF(J747-I747&gt;=0,"OK",J747-I747))</f>
        <v/>
      </c>
    </row>
    <row r="748" customFormat="false" ht="14.25" hidden="false" customHeight="true" outlineLevel="0" collapsed="false">
      <c r="A748" s="106"/>
      <c r="B748" s="106"/>
      <c r="C748" s="107"/>
      <c r="D748" s="106"/>
      <c r="E748" s="106"/>
      <c r="F748" s="130" t="str">
        <f aca="false">IF(A748="","",MIN(E748/(37.5),1))</f>
        <v/>
      </c>
      <c r="G748" s="108"/>
      <c r="H748" s="106"/>
      <c r="I748" s="107"/>
      <c r="J748" s="131" t="str">
        <f aca="false" t="array" ref="J748:J748">IF(A748="","",ifs(AND(D748=1,H748="Pagas prorrateadas"),2705.41*(F748*G748),AND(D748=1,H748="Pagas no prorrateadas"),2318.93*(F748*G748),AND(D748=2,H748="Pagas prorrateadas"),2246.07*(F748*G748),AND(D748=2,H748="Pagas no prorrateadas"),1925.21*(F748*G748),AND(D748=3,H748="Pagas prorrateadas"),1775.44*(F748*G748),AND(D748=3,H748="Pagas no prorrateadas"),1521.81*(F748*G748),AND(D748=5,H748="Pagas prorrateadas"),1535.9*(F748*G748),AND(D748=5,H748="Pagas no prorrateadas"),1316.49*(F748*G748),AND(D748=7,H748="Pagas prorrateadas"),1493.61*(F748*G748),AND(D748=7,H748="Pagas no prorrateadas"),1280.24*(F748*G748)))</f>
        <v/>
      </c>
      <c r="K748" s="106" t="str">
        <f aca="false">IF(A748="","",IF(J748-I748&gt;=0,"OK",J748-I748))</f>
        <v/>
      </c>
    </row>
    <row r="749" customFormat="false" ht="14.25" hidden="false" customHeight="true" outlineLevel="0" collapsed="false">
      <c r="A749" s="106"/>
      <c r="B749" s="106"/>
      <c r="C749" s="107"/>
      <c r="D749" s="106"/>
      <c r="E749" s="106"/>
      <c r="F749" s="130" t="str">
        <f aca="false">IF(A749="","",MIN(E749/(37.5),1))</f>
        <v/>
      </c>
      <c r="G749" s="108"/>
      <c r="H749" s="106"/>
      <c r="I749" s="107"/>
      <c r="J749" s="131" t="str">
        <f aca="false" t="array" ref="J749:J749">IF(A749="","",ifs(AND(D749=1,H749="Pagas prorrateadas"),2705.41*(F749*G749),AND(D749=1,H749="Pagas no prorrateadas"),2318.93*(F749*G749),AND(D749=2,H749="Pagas prorrateadas"),2246.07*(F749*G749),AND(D749=2,H749="Pagas no prorrateadas"),1925.21*(F749*G749),AND(D749=3,H749="Pagas prorrateadas"),1775.44*(F749*G749),AND(D749=3,H749="Pagas no prorrateadas"),1521.81*(F749*G749),AND(D749=5,H749="Pagas prorrateadas"),1535.9*(F749*G749),AND(D749=5,H749="Pagas no prorrateadas"),1316.49*(F749*G749),AND(D749=7,H749="Pagas prorrateadas"),1493.61*(F749*G749),AND(D749=7,H749="Pagas no prorrateadas"),1280.24*(F749*G749)))</f>
        <v/>
      </c>
      <c r="K749" s="106" t="str">
        <f aca="false">IF(A749="","",IF(J749-I749&gt;=0,"OK",J749-I749))</f>
        <v/>
      </c>
    </row>
    <row r="750" customFormat="false" ht="14.25" hidden="false" customHeight="true" outlineLevel="0" collapsed="false">
      <c r="A750" s="106"/>
      <c r="B750" s="106"/>
      <c r="C750" s="107"/>
      <c r="D750" s="106"/>
      <c r="E750" s="106"/>
      <c r="F750" s="130" t="str">
        <f aca="false">IF(A750="","",MIN(E750/(37.5),1))</f>
        <v/>
      </c>
      <c r="G750" s="108"/>
      <c r="H750" s="106"/>
      <c r="I750" s="107"/>
      <c r="J750" s="131" t="str">
        <f aca="false" t="array" ref="J750:J750">IF(A750="","",ifs(AND(D750=1,H750="Pagas prorrateadas"),2705.41*(F750*G750),AND(D750=1,H750="Pagas no prorrateadas"),2318.93*(F750*G750),AND(D750=2,H750="Pagas prorrateadas"),2246.07*(F750*G750),AND(D750=2,H750="Pagas no prorrateadas"),1925.21*(F750*G750),AND(D750=3,H750="Pagas prorrateadas"),1775.44*(F750*G750),AND(D750=3,H750="Pagas no prorrateadas"),1521.81*(F750*G750),AND(D750=5,H750="Pagas prorrateadas"),1535.9*(F750*G750),AND(D750=5,H750="Pagas no prorrateadas"),1316.49*(F750*G750),AND(D750=7,H750="Pagas prorrateadas"),1493.61*(F750*G750),AND(D750=7,H750="Pagas no prorrateadas"),1280.24*(F750*G750)))</f>
        <v/>
      </c>
      <c r="K750" s="106" t="str">
        <f aca="false">IF(A750="","",IF(J750-I750&gt;=0,"OK",J750-I750))</f>
        <v/>
      </c>
    </row>
    <row r="751" customFormat="false" ht="14.25" hidden="false" customHeight="true" outlineLevel="0" collapsed="false">
      <c r="A751" s="106"/>
      <c r="B751" s="106"/>
      <c r="C751" s="107"/>
      <c r="D751" s="106"/>
      <c r="E751" s="106"/>
      <c r="F751" s="130" t="str">
        <f aca="false">IF(A751="","",MIN(E751/(37.5),1))</f>
        <v/>
      </c>
      <c r="G751" s="108"/>
      <c r="H751" s="106"/>
      <c r="I751" s="107"/>
      <c r="J751" s="131" t="str">
        <f aca="false" t="array" ref="J751:J751">IF(A751="","",ifs(AND(D751=1,H751="Pagas prorrateadas"),2705.41*(F751*G751),AND(D751=1,H751="Pagas no prorrateadas"),2318.93*(F751*G751),AND(D751=2,H751="Pagas prorrateadas"),2246.07*(F751*G751),AND(D751=2,H751="Pagas no prorrateadas"),1925.21*(F751*G751),AND(D751=3,H751="Pagas prorrateadas"),1775.44*(F751*G751),AND(D751=3,H751="Pagas no prorrateadas"),1521.81*(F751*G751),AND(D751=5,H751="Pagas prorrateadas"),1535.9*(F751*G751),AND(D751=5,H751="Pagas no prorrateadas"),1316.49*(F751*G751),AND(D751=7,H751="Pagas prorrateadas"),1493.61*(F751*G751),AND(D751=7,H751="Pagas no prorrateadas"),1280.24*(F751*G751)))</f>
        <v/>
      </c>
      <c r="K751" s="106" t="str">
        <f aca="false">IF(A751="","",IF(J751-I751&gt;=0,"OK",J751-I751))</f>
        <v/>
      </c>
    </row>
    <row r="752" customFormat="false" ht="14.25" hidden="false" customHeight="true" outlineLevel="0" collapsed="false">
      <c r="A752" s="106"/>
      <c r="B752" s="106"/>
      <c r="C752" s="107"/>
      <c r="D752" s="106"/>
      <c r="E752" s="106"/>
      <c r="F752" s="130" t="str">
        <f aca="false">IF(A752="","",MIN(E752/(37.5),1))</f>
        <v/>
      </c>
      <c r="G752" s="108"/>
      <c r="H752" s="106"/>
      <c r="I752" s="107"/>
      <c r="J752" s="131" t="str">
        <f aca="false" t="array" ref="J752:J752">IF(A752="","",ifs(AND(D752=1,H752="Pagas prorrateadas"),2705.41*(F752*G752),AND(D752=1,H752="Pagas no prorrateadas"),2318.93*(F752*G752),AND(D752=2,H752="Pagas prorrateadas"),2246.07*(F752*G752),AND(D752=2,H752="Pagas no prorrateadas"),1925.21*(F752*G752),AND(D752=3,H752="Pagas prorrateadas"),1775.44*(F752*G752),AND(D752=3,H752="Pagas no prorrateadas"),1521.81*(F752*G752),AND(D752=5,H752="Pagas prorrateadas"),1535.9*(F752*G752),AND(D752=5,H752="Pagas no prorrateadas"),1316.49*(F752*G752),AND(D752=7,H752="Pagas prorrateadas"),1493.61*(F752*G752),AND(D752=7,H752="Pagas no prorrateadas"),1280.24*(F752*G752)))</f>
        <v/>
      </c>
      <c r="K752" s="106" t="str">
        <f aca="false">IF(A752="","",IF(J752-I752&gt;=0,"OK",J752-I752))</f>
        <v/>
      </c>
    </row>
    <row r="753" customFormat="false" ht="14.25" hidden="false" customHeight="true" outlineLevel="0" collapsed="false">
      <c r="A753" s="106"/>
      <c r="B753" s="106"/>
      <c r="C753" s="107"/>
      <c r="D753" s="106"/>
      <c r="E753" s="106"/>
      <c r="F753" s="130" t="str">
        <f aca="false">IF(A753="","",MIN(E753/(37.5),1))</f>
        <v/>
      </c>
      <c r="G753" s="108"/>
      <c r="H753" s="106"/>
      <c r="I753" s="107"/>
      <c r="J753" s="131" t="str">
        <f aca="false" t="array" ref="J753:J753">IF(A753="","",ifs(AND(D753=1,H753="Pagas prorrateadas"),2705.41*(F753*G753),AND(D753=1,H753="Pagas no prorrateadas"),2318.93*(F753*G753),AND(D753=2,H753="Pagas prorrateadas"),2246.07*(F753*G753),AND(D753=2,H753="Pagas no prorrateadas"),1925.21*(F753*G753),AND(D753=3,H753="Pagas prorrateadas"),1775.44*(F753*G753),AND(D753=3,H753="Pagas no prorrateadas"),1521.81*(F753*G753),AND(D753=5,H753="Pagas prorrateadas"),1535.9*(F753*G753),AND(D753=5,H753="Pagas no prorrateadas"),1316.49*(F753*G753),AND(D753=7,H753="Pagas prorrateadas"),1493.61*(F753*G753),AND(D753=7,H753="Pagas no prorrateadas"),1280.24*(F753*G753)))</f>
        <v/>
      </c>
      <c r="K753" s="106" t="str">
        <f aca="false">IF(A753="","",IF(J753-I753&gt;=0,"OK",J753-I753))</f>
        <v/>
      </c>
    </row>
    <row r="754" customFormat="false" ht="14.25" hidden="false" customHeight="true" outlineLevel="0" collapsed="false">
      <c r="A754" s="106"/>
      <c r="B754" s="106"/>
      <c r="C754" s="107"/>
      <c r="D754" s="106"/>
      <c r="E754" s="106"/>
      <c r="F754" s="130" t="str">
        <f aca="false">IF(A754="","",MIN(E754/(37.5),1))</f>
        <v/>
      </c>
      <c r="G754" s="108"/>
      <c r="H754" s="106"/>
      <c r="I754" s="107"/>
      <c r="J754" s="131" t="str">
        <f aca="false" t="array" ref="J754:J754">IF(A754="","",ifs(AND(D754=1,H754="Pagas prorrateadas"),2705.41*(F754*G754),AND(D754=1,H754="Pagas no prorrateadas"),2318.93*(F754*G754),AND(D754=2,H754="Pagas prorrateadas"),2246.07*(F754*G754),AND(D754=2,H754="Pagas no prorrateadas"),1925.21*(F754*G754),AND(D754=3,H754="Pagas prorrateadas"),1775.44*(F754*G754),AND(D754=3,H754="Pagas no prorrateadas"),1521.81*(F754*G754),AND(D754=5,H754="Pagas prorrateadas"),1535.9*(F754*G754),AND(D754=5,H754="Pagas no prorrateadas"),1316.49*(F754*G754),AND(D754=7,H754="Pagas prorrateadas"),1493.61*(F754*G754),AND(D754=7,H754="Pagas no prorrateadas"),1280.24*(F754*G754)))</f>
        <v/>
      </c>
      <c r="K754" s="106" t="str">
        <f aca="false">IF(A754="","",IF(J754-I754&gt;=0,"OK",J754-I754))</f>
        <v/>
      </c>
    </row>
    <row r="755" customFormat="false" ht="14.25" hidden="false" customHeight="true" outlineLevel="0" collapsed="false">
      <c r="A755" s="106"/>
      <c r="B755" s="106"/>
      <c r="C755" s="107"/>
      <c r="D755" s="106"/>
      <c r="E755" s="106"/>
      <c r="F755" s="130" t="str">
        <f aca="false">IF(A755="","",MIN(E755/(37.5),1))</f>
        <v/>
      </c>
      <c r="G755" s="108"/>
      <c r="H755" s="106"/>
      <c r="I755" s="107"/>
      <c r="J755" s="131" t="str">
        <f aca="false" t="array" ref="J755:J755">IF(A755="","",ifs(AND(D755=1,H755="Pagas prorrateadas"),2705.41*(F755*G755),AND(D755=1,H755="Pagas no prorrateadas"),2318.93*(F755*G755),AND(D755=2,H755="Pagas prorrateadas"),2246.07*(F755*G755),AND(D755=2,H755="Pagas no prorrateadas"),1925.21*(F755*G755),AND(D755=3,H755="Pagas prorrateadas"),1775.44*(F755*G755),AND(D755=3,H755="Pagas no prorrateadas"),1521.81*(F755*G755),AND(D755=5,H755="Pagas prorrateadas"),1535.9*(F755*G755),AND(D755=5,H755="Pagas no prorrateadas"),1316.49*(F755*G755),AND(D755=7,H755="Pagas prorrateadas"),1493.61*(F755*G755),AND(D755=7,H755="Pagas no prorrateadas"),1280.24*(F755*G755)))</f>
        <v/>
      </c>
      <c r="K755" s="106" t="str">
        <f aca="false">IF(A755="","",IF(J755-I755&gt;=0,"OK",J755-I755))</f>
        <v/>
      </c>
    </row>
    <row r="756" customFormat="false" ht="14.25" hidden="false" customHeight="true" outlineLevel="0" collapsed="false">
      <c r="A756" s="106"/>
      <c r="B756" s="106"/>
      <c r="C756" s="107"/>
      <c r="D756" s="106"/>
      <c r="E756" s="106"/>
      <c r="F756" s="130" t="str">
        <f aca="false">IF(A756="","",MIN(E756/(37.5),1))</f>
        <v/>
      </c>
      <c r="G756" s="108"/>
      <c r="H756" s="106"/>
      <c r="I756" s="107"/>
      <c r="J756" s="131" t="str">
        <f aca="false" t="array" ref="J756:J756">IF(A756="","",ifs(AND(D756=1,H756="Pagas prorrateadas"),2705.41*(F756*G756),AND(D756=1,H756="Pagas no prorrateadas"),2318.93*(F756*G756),AND(D756=2,H756="Pagas prorrateadas"),2246.07*(F756*G756),AND(D756=2,H756="Pagas no prorrateadas"),1925.21*(F756*G756),AND(D756=3,H756="Pagas prorrateadas"),1775.44*(F756*G756),AND(D756=3,H756="Pagas no prorrateadas"),1521.81*(F756*G756),AND(D756=5,H756="Pagas prorrateadas"),1535.9*(F756*G756),AND(D756=5,H756="Pagas no prorrateadas"),1316.49*(F756*G756),AND(D756=7,H756="Pagas prorrateadas"),1493.61*(F756*G756),AND(D756=7,H756="Pagas no prorrateadas"),1280.24*(F756*G756)))</f>
        <v/>
      </c>
      <c r="K756" s="106" t="str">
        <f aca="false">IF(A756="","",IF(J756-I756&gt;=0,"OK",J756-I756))</f>
        <v/>
      </c>
    </row>
    <row r="757" customFormat="false" ht="14.25" hidden="false" customHeight="true" outlineLevel="0" collapsed="false">
      <c r="A757" s="106"/>
      <c r="B757" s="106"/>
      <c r="C757" s="107"/>
      <c r="D757" s="106"/>
      <c r="E757" s="106"/>
      <c r="F757" s="130" t="str">
        <f aca="false">IF(A757="","",MIN(E757/(37.5),1))</f>
        <v/>
      </c>
      <c r="G757" s="108"/>
      <c r="H757" s="106"/>
      <c r="I757" s="107"/>
      <c r="J757" s="131" t="str">
        <f aca="false" t="array" ref="J757:J757">IF(A757="","",ifs(AND(D757=1,H757="Pagas prorrateadas"),2705.41*(F757*G757),AND(D757=1,H757="Pagas no prorrateadas"),2318.93*(F757*G757),AND(D757=2,H757="Pagas prorrateadas"),2246.07*(F757*G757),AND(D757=2,H757="Pagas no prorrateadas"),1925.21*(F757*G757),AND(D757=3,H757="Pagas prorrateadas"),1775.44*(F757*G757),AND(D757=3,H757="Pagas no prorrateadas"),1521.81*(F757*G757),AND(D757=5,H757="Pagas prorrateadas"),1535.9*(F757*G757),AND(D757=5,H757="Pagas no prorrateadas"),1316.49*(F757*G757),AND(D757=7,H757="Pagas prorrateadas"),1493.61*(F757*G757),AND(D757=7,H757="Pagas no prorrateadas"),1280.24*(F757*G757)))</f>
        <v/>
      </c>
      <c r="K757" s="106" t="str">
        <f aca="false">IF(A757="","",IF(J757-I757&gt;=0,"OK",J757-I757))</f>
        <v/>
      </c>
    </row>
    <row r="758" customFormat="false" ht="14.25" hidden="false" customHeight="true" outlineLevel="0" collapsed="false">
      <c r="A758" s="106"/>
      <c r="B758" s="106"/>
      <c r="C758" s="107"/>
      <c r="D758" s="106"/>
      <c r="E758" s="106"/>
      <c r="F758" s="130" t="str">
        <f aca="false">IF(A758="","",MIN(E758/(37.5),1))</f>
        <v/>
      </c>
      <c r="G758" s="108"/>
      <c r="H758" s="106"/>
      <c r="I758" s="107"/>
      <c r="J758" s="131" t="str">
        <f aca="false" t="array" ref="J758:J758">IF(A758="","",ifs(AND(D758=1,H758="Pagas prorrateadas"),2705.41*(F758*G758),AND(D758=1,H758="Pagas no prorrateadas"),2318.93*(F758*G758),AND(D758=2,H758="Pagas prorrateadas"),2246.07*(F758*G758),AND(D758=2,H758="Pagas no prorrateadas"),1925.21*(F758*G758),AND(D758=3,H758="Pagas prorrateadas"),1775.44*(F758*G758),AND(D758=3,H758="Pagas no prorrateadas"),1521.81*(F758*G758),AND(D758=5,H758="Pagas prorrateadas"),1535.9*(F758*G758),AND(D758=5,H758="Pagas no prorrateadas"),1316.49*(F758*G758),AND(D758=7,H758="Pagas prorrateadas"),1493.61*(F758*G758),AND(D758=7,H758="Pagas no prorrateadas"),1280.24*(F758*G758)))</f>
        <v/>
      </c>
      <c r="K758" s="106" t="str">
        <f aca="false">IF(A758="","",IF(J758-I758&gt;=0,"OK",J758-I758))</f>
        <v/>
      </c>
    </row>
    <row r="759" customFormat="false" ht="14.25" hidden="false" customHeight="true" outlineLevel="0" collapsed="false">
      <c r="A759" s="106"/>
      <c r="B759" s="106"/>
      <c r="C759" s="107"/>
      <c r="D759" s="106"/>
      <c r="E759" s="106"/>
      <c r="F759" s="130" t="str">
        <f aca="false">IF(A759="","",MIN(E759/(37.5),1))</f>
        <v/>
      </c>
      <c r="G759" s="108"/>
      <c r="H759" s="106"/>
      <c r="I759" s="107"/>
      <c r="J759" s="131" t="str">
        <f aca="false" t="array" ref="J759:J759">IF(A759="","",ifs(AND(D759=1,H759="Pagas prorrateadas"),2705.41*(F759*G759),AND(D759=1,H759="Pagas no prorrateadas"),2318.93*(F759*G759),AND(D759=2,H759="Pagas prorrateadas"),2246.07*(F759*G759),AND(D759=2,H759="Pagas no prorrateadas"),1925.21*(F759*G759),AND(D759=3,H759="Pagas prorrateadas"),1775.44*(F759*G759),AND(D759=3,H759="Pagas no prorrateadas"),1521.81*(F759*G759),AND(D759=5,H759="Pagas prorrateadas"),1535.9*(F759*G759),AND(D759=5,H759="Pagas no prorrateadas"),1316.49*(F759*G759),AND(D759=7,H759="Pagas prorrateadas"),1493.61*(F759*G759),AND(D759=7,H759="Pagas no prorrateadas"),1280.24*(F759*G759)))</f>
        <v/>
      </c>
      <c r="K759" s="106" t="str">
        <f aca="false">IF(A759="","",IF(J759-I759&gt;=0,"OK",J759-I759))</f>
        <v/>
      </c>
    </row>
    <row r="760" customFormat="false" ht="14.25" hidden="false" customHeight="true" outlineLevel="0" collapsed="false">
      <c r="A760" s="106"/>
      <c r="B760" s="106"/>
      <c r="C760" s="107"/>
      <c r="D760" s="106"/>
      <c r="E760" s="106"/>
      <c r="F760" s="130" t="str">
        <f aca="false">IF(A760="","",MIN(E760/(37.5),1))</f>
        <v/>
      </c>
      <c r="G760" s="108"/>
      <c r="H760" s="106"/>
      <c r="I760" s="107"/>
      <c r="J760" s="131" t="str">
        <f aca="false" t="array" ref="J760:J760">IF(A760="","",ifs(AND(D760=1,H760="Pagas prorrateadas"),2705.41*(F760*G760),AND(D760=1,H760="Pagas no prorrateadas"),2318.93*(F760*G760),AND(D760=2,H760="Pagas prorrateadas"),2246.07*(F760*G760),AND(D760=2,H760="Pagas no prorrateadas"),1925.21*(F760*G760),AND(D760=3,H760="Pagas prorrateadas"),1775.44*(F760*G760),AND(D760=3,H760="Pagas no prorrateadas"),1521.81*(F760*G760),AND(D760=5,H760="Pagas prorrateadas"),1535.9*(F760*G760),AND(D760=5,H760="Pagas no prorrateadas"),1316.49*(F760*G760),AND(D760=7,H760="Pagas prorrateadas"),1493.61*(F760*G760),AND(D760=7,H760="Pagas no prorrateadas"),1280.24*(F760*G760)))</f>
        <v/>
      </c>
      <c r="K760" s="106" t="str">
        <f aca="false">IF(A760="","",IF(J760-I760&gt;=0,"OK",J760-I760))</f>
        <v/>
      </c>
    </row>
    <row r="761" customFormat="false" ht="14.25" hidden="false" customHeight="true" outlineLevel="0" collapsed="false">
      <c r="A761" s="106"/>
      <c r="B761" s="106"/>
      <c r="C761" s="107"/>
      <c r="D761" s="106"/>
      <c r="E761" s="106"/>
      <c r="F761" s="130" t="str">
        <f aca="false">IF(A761="","",MIN(E761/(37.5),1))</f>
        <v/>
      </c>
      <c r="G761" s="108"/>
      <c r="H761" s="106"/>
      <c r="I761" s="107"/>
      <c r="J761" s="131" t="str">
        <f aca="false" t="array" ref="J761:J761">IF(A761="","",ifs(AND(D761=1,H761="Pagas prorrateadas"),2705.41*(F761*G761),AND(D761=1,H761="Pagas no prorrateadas"),2318.93*(F761*G761),AND(D761=2,H761="Pagas prorrateadas"),2246.07*(F761*G761),AND(D761=2,H761="Pagas no prorrateadas"),1925.21*(F761*G761),AND(D761=3,H761="Pagas prorrateadas"),1775.44*(F761*G761),AND(D761=3,H761="Pagas no prorrateadas"),1521.81*(F761*G761),AND(D761=5,H761="Pagas prorrateadas"),1535.9*(F761*G761),AND(D761=5,H761="Pagas no prorrateadas"),1316.49*(F761*G761),AND(D761=7,H761="Pagas prorrateadas"),1493.61*(F761*G761),AND(D761=7,H761="Pagas no prorrateadas"),1280.24*(F761*G761)))</f>
        <v/>
      </c>
      <c r="K761" s="106" t="str">
        <f aca="false">IF(A761="","",IF(J761-I761&gt;=0,"OK",J761-I761))</f>
        <v/>
      </c>
    </row>
    <row r="762" customFormat="false" ht="14.25" hidden="false" customHeight="true" outlineLevel="0" collapsed="false">
      <c r="A762" s="106"/>
      <c r="B762" s="106"/>
      <c r="C762" s="107"/>
      <c r="D762" s="106"/>
      <c r="E762" s="106"/>
      <c r="F762" s="130" t="str">
        <f aca="false">IF(A762="","",MIN(E762/(37.5),1))</f>
        <v/>
      </c>
      <c r="G762" s="108"/>
      <c r="H762" s="106"/>
      <c r="I762" s="107"/>
      <c r="J762" s="131" t="str">
        <f aca="false" t="array" ref="J762:J762">IF(A762="","",ifs(AND(D762=1,H762="Pagas prorrateadas"),2705.41*(F762*G762),AND(D762=1,H762="Pagas no prorrateadas"),2318.93*(F762*G762),AND(D762=2,H762="Pagas prorrateadas"),2246.07*(F762*G762),AND(D762=2,H762="Pagas no prorrateadas"),1925.21*(F762*G762),AND(D762=3,H762="Pagas prorrateadas"),1775.44*(F762*G762),AND(D762=3,H762="Pagas no prorrateadas"),1521.81*(F762*G762),AND(D762=5,H762="Pagas prorrateadas"),1535.9*(F762*G762),AND(D762=5,H762="Pagas no prorrateadas"),1316.49*(F762*G762),AND(D762=7,H762="Pagas prorrateadas"),1493.61*(F762*G762),AND(D762=7,H762="Pagas no prorrateadas"),1280.24*(F762*G762)))</f>
        <v/>
      </c>
      <c r="K762" s="106" t="str">
        <f aca="false">IF(A762="","",IF(J762-I762&gt;=0,"OK",J762-I762))</f>
        <v/>
      </c>
    </row>
    <row r="763" customFormat="false" ht="14.25" hidden="false" customHeight="true" outlineLevel="0" collapsed="false">
      <c r="A763" s="106"/>
      <c r="B763" s="106"/>
      <c r="C763" s="107"/>
      <c r="D763" s="106"/>
      <c r="E763" s="106"/>
      <c r="F763" s="130" t="str">
        <f aca="false">IF(A763="","",MIN(E763/(37.5),1))</f>
        <v/>
      </c>
      <c r="G763" s="108"/>
      <c r="H763" s="106"/>
      <c r="I763" s="107"/>
      <c r="J763" s="131" t="str">
        <f aca="false" t="array" ref="J763:J763">IF(A763="","",ifs(AND(D763=1,H763="Pagas prorrateadas"),2705.41*(F763*G763),AND(D763=1,H763="Pagas no prorrateadas"),2318.93*(F763*G763),AND(D763=2,H763="Pagas prorrateadas"),2246.07*(F763*G763),AND(D763=2,H763="Pagas no prorrateadas"),1925.21*(F763*G763),AND(D763=3,H763="Pagas prorrateadas"),1775.44*(F763*G763),AND(D763=3,H763="Pagas no prorrateadas"),1521.81*(F763*G763),AND(D763=5,H763="Pagas prorrateadas"),1535.9*(F763*G763),AND(D763=5,H763="Pagas no prorrateadas"),1316.49*(F763*G763),AND(D763=7,H763="Pagas prorrateadas"),1493.61*(F763*G763),AND(D763=7,H763="Pagas no prorrateadas"),1280.24*(F763*G763)))</f>
        <v/>
      </c>
      <c r="K763" s="106" t="str">
        <f aca="false">IF(A763="","",IF(J763-I763&gt;=0,"OK",J763-I763))</f>
        <v/>
      </c>
    </row>
    <row r="764" customFormat="false" ht="14.25" hidden="false" customHeight="true" outlineLevel="0" collapsed="false">
      <c r="A764" s="106"/>
      <c r="B764" s="106"/>
      <c r="C764" s="107"/>
      <c r="D764" s="106"/>
      <c r="E764" s="106"/>
      <c r="F764" s="130" t="str">
        <f aca="false">IF(A764="","",MIN(E764/(37.5),1))</f>
        <v/>
      </c>
      <c r="G764" s="108"/>
      <c r="H764" s="106"/>
      <c r="I764" s="107"/>
      <c r="J764" s="131" t="str">
        <f aca="false" t="array" ref="J764:J764">IF(A764="","",ifs(AND(D764=1,H764="Pagas prorrateadas"),2705.41*(F764*G764),AND(D764=1,H764="Pagas no prorrateadas"),2318.93*(F764*G764),AND(D764=2,H764="Pagas prorrateadas"),2246.07*(F764*G764),AND(D764=2,H764="Pagas no prorrateadas"),1925.21*(F764*G764),AND(D764=3,H764="Pagas prorrateadas"),1775.44*(F764*G764),AND(D764=3,H764="Pagas no prorrateadas"),1521.81*(F764*G764),AND(D764=5,H764="Pagas prorrateadas"),1535.9*(F764*G764),AND(D764=5,H764="Pagas no prorrateadas"),1316.49*(F764*G764),AND(D764=7,H764="Pagas prorrateadas"),1493.61*(F764*G764),AND(D764=7,H764="Pagas no prorrateadas"),1280.24*(F764*G764)))</f>
        <v/>
      </c>
      <c r="K764" s="106" t="str">
        <f aca="false">IF(A764="","",IF(J764-I764&gt;=0,"OK",J764-I764))</f>
        <v/>
      </c>
    </row>
    <row r="765" customFormat="false" ht="14.25" hidden="false" customHeight="true" outlineLevel="0" collapsed="false">
      <c r="A765" s="106"/>
      <c r="B765" s="106"/>
      <c r="C765" s="107"/>
      <c r="D765" s="106"/>
      <c r="E765" s="106"/>
      <c r="F765" s="130" t="str">
        <f aca="false">IF(A765="","",MIN(E765/(37.5),1))</f>
        <v/>
      </c>
      <c r="G765" s="108"/>
      <c r="H765" s="106"/>
      <c r="I765" s="107"/>
      <c r="J765" s="131" t="str">
        <f aca="false" t="array" ref="J765:J765">IF(A765="","",ifs(AND(D765=1,H765="Pagas prorrateadas"),2705.41*(F765*G765),AND(D765=1,H765="Pagas no prorrateadas"),2318.93*(F765*G765),AND(D765=2,H765="Pagas prorrateadas"),2246.07*(F765*G765),AND(D765=2,H765="Pagas no prorrateadas"),1925.21*(F765*G765),AND(D765=3,H765="Pagas prorrateadas"),1775.44*(F765*G765),AND(D765=3,H765="Pagas no prorrateadas"),1521.81*(F765*G765),AND(D765=5,H765="Pagas prorrateadas"),1535.9*(F765*G765),AND(D765=5,H765="Pagas no prorrateadas"),1316.49*(F765*G765),AND(D765=7,H765="Pagas prorrateadas"),1493.61*(F765*G765),AND(D765=7,H765="Pagas no prorrateadas"),1280.24*(F765*G765)))</f>
        <v/>
      </c>
      <c r="K765" s="106" t="str">
        <f aca="false">IF(A765="","",IF(J765-I765&gt;=0,"OK",J765-I765))</f>
        <v/>
      </c>
    </row>
    <row r="766" customFormat="false" ht="14.25" hidden="false" customHeight="true" outlineLevel="0" collapsed="false">
      <c r="A766" s="106"/>
      <c r="B766" s="106"/>
      <c r="C766" s="107"/>
      <c r="D766" s="106"/>
      <c r="E766" s="106"/>
      <c r="F766" s="130" t="str">
        <f aca="false">IF(A766="","",MIN(E766/(37.5),1))</f>
        <v/>
      </c>
      <c r="G766" s="108"/>
      <c r="H766" s="106"/>
      <c r="I766" s="107"/>
      <c r="J766" s="131" t="str">
        <f aca="false" t="array" ref="J766:J766">IF(A766="","",ifs(AND(D766=1,H766="Pagas prorrateadas"),2705.41*(F766*G766),AND(D766=1,H766="Pagas no prorrateadas"),2318.93*(F766*G766),AND(D766=2,H766="Pagas prorrateadas"),2246.07*(F766*G766),AND(D766=2,H766="Pagas no prorrateadas"),1925.21*(F766*G766),AND(D766=3,H766="Pagas prorrateadas"),1775.44*(F766*G766),AND(D766=3,H766="Pagas no prorrateadas"),1521.81*(F766*G766),AND(D766=5,H766="Pagas prorrateadas"),1535.9*(F766*G766),AND(D766=5,H766="Pagas no prorrateadas"),1316.49*(F766*G766),AND(D766=7,H766="Pagas prorrateadas"),1493.61*(F766*G766),AND(D766=7,H766="Pagas no prorrateadas"),1280.24*(F766*G766)))</f>
        <v/>
      </c>
      <c r="K766" s="106" t="str">
        <f aca="false">IF(A766="","",IF(J766-I766&gt;=0,"OK",J766-I766))</f>
        <v/>
      </c>
    </row>
    <row r="767" customFormat="false" ht="14.25" hidden="false" customHeight="true" outlineLevel="0" collapsed="false">
      <c r="A767" s="106"/>
      <c r="B767" s="106"/>
      <c r="C767" s="107"/>
      <c r="D767" s="106"/>
      <c r="E767" s="106"/>
      <c r="F767" s="130" t="str">
        <f aca="false">IF(A767="","",MIN(E767/(37.5),1))</f>
        <v/>
      </c>
      <c r="G767" s="108"/>
      <c r="H767" s="106"/>
      <c r="I767" s="107"/>
      <c r="J767" s="131" t="str">
        <f aca="false" t="array" ref="J767:J767">IF(A767="","",ifs(AND(D767=1,H767="Pagas prorrateadas"),2705.41*(F767*G767),AND(D767=1,H767="Pagas no prorrateadas"),2318.93*(F767*G767),AND(D767=2,H767="Pagas prorrateadas"),2246.07*(F767*G767),AND(D767=2,H767="Pagas no prorrateadas"),1925.21*(F767*G767),AND(D767=3,H767="Pagas prorrateadas"),1775.44*(F767*G767),AND(D767=3,H767="Pagas no prorrateadas"),1521.81*(F767*G767),AND(D767=5,H767="Pagas prorrateadas"),1535.9*(F767*G767),AND(D767=5,H767="Pagas no prorrateadas"),1316.49*(F767*G767),AND(D767=7,H767="Pagas prorrateadas"),1493.61*(F767*G767),AND(D767=7,H767="Pagas no prorrateadas"),1280.24*(F767*G767)))</f>
        <v/>
      </c>
      <c r="K767" s="106" t="str">
        <f aca="false">IF(A767="","",IF(J767-I767&gt;=0,"OK",J767-I767))</f>
        <v/>
      </c>
    </row>
    <row r="768" customFormat="false" ht="14.25" hidden="false" customHeight="true" outlineLevel="0" collapsed="false">
      <c r="A768" s="106"/>
      <c r="B768" s="106"/>
      <c r="C768" s="107"/>
      <c r="D768" s="106"/>
      <c r="E768" s="106"/>
      <c r="F768" s="130" t="str">
        <f aca="false">IF(A768="","",MIN(E768/(37.5),1))</f>
        <v/>
      </c>
      <c r="G768" s="108"/>
      <c r="H768" s="106"/>
      <c r="I768" s="107"/>
      <c r="J768" s="131" t="str">
        <f aca="false" t="array" ref="J768:J768">IF(A768="","",ifs(AND(D768=1,H768="Pagas prorrateadas"),2705.41*(F768*G768),AND(D768=1,H768="Pagas no prorrateadas"),2318.93*(F768*G768),AND(D768=2,H768="Pagas prorrateadas"),2246.07*(F768*G768),AND(D768=2,H768="Pagas no prorrateadas"),1925.21*(F768*G768),AND(D768=3,H768="Pagas prorrateadas"),1775.44*(F768*G768),AND(D768=3,H768="Pagas no prorrateadas"),1521.81*(F768*G768),AND(D768=5,H768="Pagas prorrateadas"),1535.9*(F768*G768),AND(D768=5,H768="Pagas no prorrateadas"),1316.49*(F768*G768),AND(D768=7,H768="Pagas prorrateadas"),1493.61*(F768*G768),AND(D768=7,H768="Pagas no prorrateadas"),1280.24*(F768*G768)))</f>
        <v/>
      </c>
      <c r="K768" s="106" t="str">
        <f aca="false">IF(A768="","",IF(J768-I768&gt;=0,"OK",J768-I768))</f>
        <v/>
      </c>
    </row>
    <row r="769" customFormat="false" ht="14.25" hidden="false" customHeight="true" outlineLevel="0" collapsed="false">
      <c r="A769" s="106"/>
      <c r="B769" s="106"/>
      <c r="C769" s="107"/>
      <c r="D769" s="106"/>
      <c r="E769" s="106"/>
      <c r="F769" s="130" t="str">
        <f aca="false">IF(A769="","",MIN(E769/(37.5),1))</f>
        <v/>
      </c>
      <c r="G769" s="108"/>
      <c r="H769" s="106"/>
      <c r="I769" s="107"/>
      <c r="J769" s="131" t="str">
        <f aca="false" t="array" ref="J769:J769">IF(A769="","",ifs(AND(D769=1,H769="Pagas prorrateadas"),2705.41*(F769*G769),AND(D769=1,H769="Pagas no prorrateadas"),2318.93*(F769*G769),AND(D769=2,H769="Pagas prorrateadas"),2246.07*(F769*G769),AND(D769=2,H769="Pagas no prorrateadas"),1925.21*(F769*G769),AND(D769=3,H769="Pagas prorrateadas"),1775.44*(F769*G769),AND(D769=3,H769="Pagas no prorrateadas"),1521.81*(F769*G769),AND(D769=5,H769="Pagas prorrateadas"),1535.9*(F769*G769),AND(D769=5,H769="Pagas no prorrateadas"),1316.49*(F769*G769),AND(D769=7,H769="Pagas prorrateadas"),1493.61*(F769*G769),AND(D769=7,H769="Pagas no prorrateadas"),1280.24*(F769*G769)))</f>
        <v/>
      </c>
      <c r="K769" s="106" t="str">
        <f aca="false">IF(A769="","",IF(J769-I769&gt;=0,"OK",J769-I769))</f>
        <v/>
      </c>
    </row>
    <row r="770" customFormat="false" ht="14.25" hidden="false" customHeight="true" outlineLevel="0" collapsed="false">
      <c r="A770" s="106"/>
      <c r="B770" s="106"/>
      <c r="C770" s="107"/>
      <c r="D770" s="106"/>
      <c r="E770" s="106"/>
      <c r="F770" s="130" t="str">
        <f aca="false">IF(A770="","",MIN(E770/(37.5),1))</f>
        <v/>
      </c>
      <c r="G770" s="108"/>
      <c r="H770" s="106"/>
      <c r="I770" s="107"/>
      <c r="J770" s="131" t="str">
        <f aca="false" t="array" ref="J770:J770">IF(A770="","",ifs(AND(D770=1,H770="Pagas prorrateadas"),2705.41*(F770*G770),AND(D770=1,H770="Pagas no prorrateadas"),2318.93*(F770*G770),AND(D770=2,H770="Pagas prorrateadas"),2246.07*(F770*G770),AND(D770=2,H770="Pagas no prorrateadas"),1925.21*(F770*G770),AND(D770=3,H770="Pagas prorrateadas"),1775.44*(F770*G770),AND(D770=3,H770="Pagas no prorrateadas"),1521.81*(F770*G770),AND(D770=5,H770="Pagas prorrateadas"),1535.9*(F770*G770),AND(D770=5,H770="Pagas no prorrateadas"),1316.49*(F770*G770),AND(D770=7,H770="Pagas prorrateadas"),1493.61*(F770*G770),AND(D770=7,H770="Pagas no prorrateadas"),1280.24*(F770*G770)))</f>
        <v/>
      </c>
      <c r="K770" s="106" t="str">
        <f aca="false">IF(A770="","",IF(J770-I770&gt;=0,"OK",J770-I770))</f>
        <v/>
      </c>
    </row>
    <row r="771" customFormat="false" ht="14.25" hidden="false" customHeight="true" outlineLevel="0" collapsed="false">
      <c r="A771" s="106"/>
      <c r="B771" s="106"/>
      <c r="C771" s="107"/>
      <c r="D771" s="106"/>
      <c r="E771" s="106"/>
      <c r="F771" s="130" t="str">
        <f aca="false">IF(A771="","",MIN(E771/(37.5),1))</f>
        <v/>
      </c>
      <c r="G771" s="108"/>
      <c r="H771" s="106"/>
      <c r="I771" s="107"/>
      <c r="J771" s="131" t="str">
        <f aca="false" t="array" ref="J771:J771">IF(A771="","",ifs(AND(D771=1,H771="Pagas prorrateadas"),2705.41*(F771*G771),AND(D771=1,H771="Pagas no prorrateadas"),2318.93*(F771*G771),AND(D771=2,H771="Pagas prorrateadas"),2246.07*(F771*G771),AND(D771=2,H771="Pagas no prorrateadas"),1925.21*(F771*G771),AND(D771=3,H771="Pagas prorrateadas"),1775.44*(F771*G771),AND(D771=3,H771="Pagas no prorrateadas"),1521.81*(F771*G771),AND(D771=5,H771="Pagas prorrateadas"),1535.9*(F771*G771),AND(D771=5,H771="Pagas no prorrateadas"),1316.49*(F771*G771),AND(D771=7,H771="Pagas prorrateadas"),1493.61*(F771*G771),AND(D771=7,H771="Pagas no prorrateadas"),1280.24*(F771*G771)))</f>
        <v/>
      </c>
      <c r="K771" s="106" t="str">
        <f aca="false">IF(A771="","",IF(J771-I771&gt;=0,"OK",J771-I771))</f>
        <v/>
      </c>
    </row>
    <row r="772" customFormat="false" ht="14.25" hidden="false" customHeight="true" outlineLevel="0" collapsed="false">
      <c r="A772" s="106"/>
      <c r="B772" s="106"/>
      <c r="C772" s="107"/>
      <c r="D772" s="106"/>
      <c r="E772" s="106"/>
      <c r="F772" s="130" t="str">
        <f aca="false">IF(A772="","",MIN(E772/(37.5),1))</f>
        <v/>
      </c>
      <c r="G772" s="108"/>
      <c r="H772" s="106"/>
      <c r="I772" s="107"/>
      <c r="J772" s="131" t="str">
        <f aca="false" t="array" ref="J772:J772">IF(A772="","",ifs(AND(D772=1,H772="Pagas prorrateadas"),2705.41*(F772*G772),AND(D772=1,H772="Pagas no prorrateadas"),2318.93*(F772*G772),AND(D772=2,H772="Pagas prorrateadas"),2246.07*(F772*G772),AND(D772=2,H772="Pagas no prorrateadas"),1925.21*(F772*G772),AND(D772=3,H772="Pagas prorrateadas"),1775.44*(F772*G772),AND(D772=3,H772="Pagas no prorrateadas"),1521.81*(F772*G772),AND(D772=5,H772="Pagas prorrateadas"),1535.9*(F772*G772),AND(D772=5,H772="Pagas no prorrateadas"),1316.49*(F772*G772),AND(D772=7,H772="Pagas prorrateadas"),1493.61*(F772*G772),AND(D772=7,H772="Pagas no prorrateadas"),1280.24*(F772*G772)))</f>
        <v/>
      </c>
      <c r="K772" s="106" t="str">
        <f aca="false">IF(A772="","",IF(J772-I772&gt;=0,"OK",J772-I772))</f>
        <v/>
      </c>
    </row>
    <row r="773" customFormat="false" ht="14.25" hidden="false" customHeight="true" outlineLevel="0" collapsed="false">
      <c r="A773" s="106"/>
      <c r="B773" s="106"/>
      <c r="C773" s="107"/>
      <c r="D773" s="106"/>
      <c r="E773" s="106"/>
      <c r="F773" s="130" t="str">
        <f aca="false">IF(A773="","",MIN(E773/(37.5),1))</f>
        <v/>
      </c>
      <c r="G773" s="108"/>
      <c r="H773" s="106"/>
      <c r="I773" s="107"/>
      <c r="J773" s="131" t="str">
        <f aca="false" t="array" ref="J773:J773">IF(A773="","",ifs(AND(D773=1,H773="Pagas prorrateadas"),2705.41*(F773*G773),AND(D773=1,H773="Pagas no prorrateadas"),2318.93*(F773*G773),AND(D773=2,H773="Pagas prorrateadas"),2246.07*(F773*G773),AND(D773=2,H773="Pagas no prorrateadas"),1925.21*(F773*G773),AND(D773=3,H773="Pagas prorrateadas"),1775.44*(F773*G773),AND(D773=3,H773="Pagas no prorrateadas"),1521.81*(F773*G773),AND(D773=5,H773="Pagas prorrateadas"),1535.9*(F773*G773),AND(D773=5,H773="Pagas no prorrateadas"),1316.49*(F773*G773),AND(D773=7,H773="Pagas prorrateadas"),1493.61*(F773*G773),AND(D773=7,H773="Pagas no prorrateadas"),1280.24*(F773*G773)))</f>
        <v/>
      </c>
      <c r="K773" s="106" t="str">
        <f aca="false">IF(A773="","",IF(J773-I773&gt;=0,"OK",J773-I773))</f>
        <v/>
      </c>
    </row>
    <row r="774" customFormat="false" ht="14.25" hidden="false" customHeight="true" outlineLevel="0" collapsed="false">
      <c r="A774" s="106"/>
      <c r="B774" s="106"/>
      <c r="C774" s="107"/>
      <c r="D774" s="106"/>
      <c r="E774" s="106"/>
      <c r="F774" s="130" t="str">
        <f aca="false">IF(A774="","",MIN(E774/(37.5),1))</f>
        <v/>
      </c>
      <c r="G774" s="108"/>
      <c r="H774" s="106"/>
      <c r="I774" s="107"/>
      <c r="J774" s="131" t="str">
        <f aca="false" t="array" ref="J774:J774">IF(A774="","",ifs(AND(D774=1,H774="Pagas prorrateadas"),2705.41*(F774*G774),AND(D774=1,H774="Pagas no prorrateadas"),2318.93*(F774*G774),AND(D774=2,H774="Pagas prorrateadas"),2246.07*(F774*G774),AND(D774=2,H774="Pagas no prorrateadas"),1925.21*(F774*G774),AND(D774=3,H774="Pagas prorrateadas"),1775.44*(F774*G774),AND(D774=3,H774="Pagas no prorrateadas"),1521.81*(F774*G774),AND(D774=5,H774="Pagas prorrateadas"),1535.9*(F774*G774),AND(D774=5,H774="Pagas no prorrateadas"),1316.49*(F774*G774),AND(D774=7,H774="Pagas prorrateadas"),1493.61*(F774*G774),AND(D774=7,H774="Pagas no prorrateadas"),1280.24*(F774*G774)))</f>
        <v/>
      </c>
      <c r="K774" s="106" t="str">
        <f aca="false">IF(A774="","",IF(J774-I774&gt;=0,"OK",J774-I774))</f>
        <v/>
      </c>
    </row>
    <row r="775" customFormat="false" ht="14.25" hidden="false" customHeight="true" outlineLevel="0" collapsed="false">
      <c r="A775" s="106"/>
      <c r="B775" s="106"/>
      <c r="C775" s="107"/>
      <c r="D775" s="106"/>
      <c r="E775" s="106"/>
      <c r="F775" s="130" t="str">
        <f aca="false">IF(A775="","",MIN(E775/(37.5),1))</f>
        <v/>
      </c>
      <c r="G775" s="108"/>
      <c r="H775" s="106"/>
      <c r="I775" s="107"/>
      <c r="J775" s="131" t="str">
        <f aca="false" t="array" ref="J775:J775">IF(A775="","",ifs(AND(D775=1,H775="Pagas prorrateadas"),2705.41*(F775*G775),AND(D775=1,H775="Pagas no prorrateadas"),2318.93*(F775*G775),AND(D775=2,H775="Pagas prorrateadas"),2246.07*(F775*G775),AND(D775=2,H775="Pagas no prorrateadas"),1925.21*(F775*G775),AND(D775=3,H775="Pagas prorrateadas"),1775.44*(F775*G775),AND(D775=3,H775="Pagas no prorrateadas"),1521.81*(F775*G775),AND(D775=5,H775="Pagas prorrateadas"),1535.9*(F775*G775),AND(D775=5,H775="Pagas no prorrateadas"),1316.49*(F775*G775),AND(D775=7,H775="Pagas prorrateadas"),1493.61*(F775*G775),AND(D775=7,H775="Pagas no prorrateadas"),1280.24*(F775*G775)))</f>
        <v/>
      </c>
      <c r="K775" s="106" t="str">
        <f aca="false">IF(A775="","",IF(J775-I775&gt;=0,"OK",J775-I775))</f>
        <v/>
      </c>
    </row>
    <row r="776" customFormat="false" ht="14.25" hidden="false" customHeight="true" outlineLevel="0" collapsed="false">
      <c r="A776" s="106"/>
      <c r="B776" s="106"/>
      <c r="C776" s="107"/>
      <c r="D776" s="106"/>
      <c r="E776" s="106"/>
      <c r="F776" s="130" t="str">
        <f aca="false">IF(A776="","",MIN(E776/(37.5),1))</f>
        <v/>
      </c>
      <c r="G776" s="108"/>
      <c r="H776" s="106"/>
      <c r="I776" s="107"/>
      <c r="J776" s="131" t="str">
        <f aca="false" t="array" ref="J776:J776">IF(A776="","",ifs(AND(D776=1,H776="Pagas prorrateadas"),2705.41*(F776*G776),AND(D776=1,H776="Pagas no prorrateadas"),2318.93*(F776*G776),AND(D776=2,H776="Pagas prorrateadas"),2246.07*(F776*G776),AND(D776=2,H776="Pagas no prorrateadas"),1925.21*(F776*G776),AND(D776=3,H776="Pagas prorrateadas"),1775.44*(F776*G776),AND(D776=3,H776="Pagas no prorrateadas"),1521.81*(F776*G776),AND(D776=5,H776="Pagas prorrateadas"),1535.9*(F776*G776),AND(D776=5,H776="Pagas no prorrateadas"),1316.49*(F776*G776),AND(D776=7,H776="Pagas prorrateadas"),1493.61*(F776*G776),AND(D776=7,H776="Pagas no prorrateadas"),1280.24*(F776*G776)))</f>
        <v/>
      </c>
      <c r="K776" s="106" t="str">
        <f aca="false">IF(A776="","",IF(J776-I776&gt;=0,"OK",J776-I776))</f>
        <v/>
      </c>
    </row>
    <row r="777" customFormat="false" ht="14.25" hidden="false" customHeight="true" outlineLevel="0" collapsed="false">
      <c r="A777" s="106"/>
      <c r="B777" s="106"/>
      <c r="C777" s="107"/>
      <c r="D777" s="106"/>
      <c r="E777" s="106"/>
      <c r="F777" s="130" t="str">
        <f aca="false">IF(A777="","",MIN(E777/(37.5),1))</f>
        <v/>
      </c>
      <c r="G777" s="108"/>
      <c r="H777" s="106"/>
      <c r="I777" s="107"/>
      <c r="J777" s="131" t="str">
        <f aca="false" t="array" ref="J777:J777">IF(A777="","",ifs(AND(D777=1,H777="Pagas prorrateadas"),2705.41*(F777*G777),AND(D777=1,H777="Pagas no prorrateadas"),2318.93*(F777*G777),AND(D777=2,H777="Pagas prorrateadas"),2246.07*(F777*G777),AND(D777=2,H777="Pagas no prorrateadas"),1925.21*(F777*G777),AND(D777=3,H777="Pagas prorrateadas"),1775.44*(F777*G777),AND(D777=3,H777="Pagas no prorrateadas"),1521.81*(F777*G777),AND(D777=5,H777="Pagas prorrateadas"),1535.9*(F777*G777),AND(D777=5,H777="Pagas no prorrateadas"),1316.49*(F777*G777),AND(D777=7,H777="Pagas prorrateadas"),1493.61*(F777*G777),AND(D777=7,H777="Pagas no prorrateadas"),1280.24*(F777*G777)))</f>
        <v/>
      </c>
      <c r="K777" s="106" t="str">
        <f aca="false">IF(A777="","",IF(J777-I777&gt;=0,"OK",J777-I777))</f>
        <v/>
      </c>
    </row>
    <row r="778" customFormat="false" ht="14.25" hidden="false" customHeight="true" outlineLevel="0" collapsed="false">
      <c r="A778" s="106"/>
      <c r="B778" s="106"/>
      <c r="C778" s="107"/>
      <c r="D778" s="106"/>
      <c r="E778" s="106"/>
      <c r="F778" s="130" t="str">
        <f aca="false">IF(A778="","",MIN(E778/(37.5),1))</f>
        <v/>
      </c>
      <c r="G778" s="108"/>
      <c r="H778" s="106"/>
      <c r="I778" s="107"/>
      <c r="J778" s="131" t="str">
        <f aca="false" t="array" ref="J778:J778">IF(A778="","",ifs(AND(D778=1,H778="Pagas prorrateadas"),2705.41*(F778*G778),AND(D778=1,H778="Pagas no prorrateadas"),2318.93*(F778*G778),AND(D778=2,H778="Pagas prorrateadas"),2246.07*(F778*G778),AND(D778=2,H778="Pagas no prorrateadas"),1925.21*(F778*G778),AND(D778=3,H778="Pagas prorrateadas"),1775.44*(F778*G778),AND(D778=3,H778="Pagas no prorrateadas"),1521.81*(F778*G778),AND(D778=5,H778="Pagas prorrateadas"),1535.9*(F778*G778),AND(D778=5,H778="Pagas no prorrateadas"),1316.49*(F778*G778),AND(D778=7,H778="Pagas prorrateadas"),1493.61*(F778*G778),AND(D778=7,H778="Pagas no prorrateadas"),1280.24*(F778*G778)))</f>
        <v/>
      </c>
      <c r="K778" s="106" t="str">
        <f aca="false">IF(A778="","",IF(J778-I778&gt;=0,"OK",J778-I778))</f>
        <v/>
      </c>
    </row>
    <row r="779" customFormat="false" ht="14.25" hidden="false" customHeight="true" outlineLevel="0" collapsed="false">
      <c r="A779" s="106"/>
      <c r="B779" s="106"/>
      <c r="C779" s="107"/>
      <c r="D779" s="106"/>
      <c r="E779" s="106"/>
      <c r="F779" s="130" t="str">
        <f aca="false">IF(A779="","",MIN(E779/(37.5),1))</f>
        <v/>
      </c>
      <c r="G779" s="108"/>
      <c r="H779" s="106"/>
      <c r="I779" s="107"/>
      <c r="J779" s="131" t="str">
        <f aca="false" t="array" ref="J779:J779">IF(A779="","",ifs(AND(D779=1,H779="Pagas prorrateadas"),2705.41*(F779*G779),AND(D779=1,H779="Pagas no prorrateadas"),2318.93*(F779*G779),AND(D779=2,H779="Pagas prorrateadas"),2246.07*(F779*G779),AND(D779=2,H779="Pagas no prorrateadas"),1925.21*(F779*G779),AND(D779=3,H779="Pagas prorrateadas"),1775.44*(F779*G779),AND(D779=3,H779="Pagas no prorrateadas"),1521.81*(F779*G779),AND(D779=5,H779="Pagas prorrateadas"),1535.9*(F779*G779),AND(D779=5,H779="Pagas no prorrateadas"),1316.49*(F779*G779),AND(D779=7,H779="Pagas prorrateadas"),1493.61*(F779*G779),AND(D779=7,H779="Pagas no prorrateadas"),1280.24*(F779*G779)))</f>
        <v/>
      </c>
      <c r="K779" s="106" t="str">
        <f aca="false">IF(A779="","",IF(J779-I779&gt;=0,"OK",J779-I779))</f>
        <v/>
      </c>
    </row>
    <row r="780" customFormat="false" ht="14.25" hidden="false" customHeight="true" outlineLevel="0" collapsed="false">
      <c r="A780" s="106"/>
      <c r="B780" s="106"/>
      <c r="C780" s="107"/>
      <c r="D780" s="106"/>
      <c r="E780" s="106"/>
      <c r="F780" s="130" t="str">
        <f aca="false">IF(A780="","",MIN(E780/(37.5),1))</f>
        <v/>
      </c>
      <c r="G780" s="108"/>
      <c r="H780" s="106"/>
      <c r="I780" s="107"/>
      <c r="J780" s="131" t="str">
        <f aca="false" t="array" ref="J780:J780">IF(A780="","",ifs(AND(D780=1,H780="Pagas prorrateadas"),2705.41*(F780*G780),AND(D780=1,H780="Pagas no prorrateadas"),2318.93*(F780*G780),AND(D780=2,H780="Pagas prorrateadas"),2246.07*(F780*G780),AND(D780=2,H780="Pagas no prorrateadas"),1925.21*(F780*G780),AND(D780=3,H780="Pagas prorrateadas"),1775.44*(F780*G780),AND(D780=3,H780="Pagas no prorrateadas"),1521.81*(F780*G780),AND(D780=5,H780="Pagas prorrateadas"),1535.9*(F780*G780),AND(D780=5,H780="Pagas no prorrateadas"),1316.49*(F780*G780),AND(D780=7,H780="Pagas prorrateadas"),1493.61*(F780*G780),AND(D780=7,H780="Pagas no prorrateadas"),1280.24*(F780*G780)))</f>
        <v/>
      </c>
      <c r="K780" s="106" t="str">
        <f aca="false">IF(A780="","",IF(J780-I780&gt;=0,"OK",J780-I780))</f>
        <v/>
      </c>
    </row>
    <row r="781" customFormat="false" ht="14.25" hidden="false" customHeight="true" outlineLevel="0" collapsed="false">
      <c r="A781" s="106"/>
      <c r="B781" s="106"/>
      <c r="C781" s="107"/>
      <c r="D781" s="106"/>
      <c r="E781" s="106"/>
      <c r="F781" s="130" t="str">
        <f aca="false">IF(A781="","",MIN(E781/(37.5),1))</f>
        <v/>
      </c>
      <c r="G781" s="108"/>
      <c r="H781" s="106"/>
      <c r="I781" s="107"/>
      <c r="J781" s="131" t="str">
        <f aca="false" t="array" ref="J781:J781">IF(A781="","",ifs(AND(D781=1,H781="Pagas prorrateadas"),2705.41*(F781*G781),AND(D781=1,H781="Pagas no prorrateadas"),2318.93*(F781*G781),AND(D781=2,H781="Pagas prorrateadas"),2246.07*(F781*G781),AND(D781=2,H781="Pagas no prorrateadas"),1925.21*(F781*G781),AND(D781=3,H781="Pagas prorrateadas"),1775.44*(F781*G781),AND(D781=3,H781="Pagas no prorrateadas"),1521.81*(F781*G781),AND(D781=5,H781="Pagas prorrateadas"),1535.9*(F781*G781),AND(D781=5,H781="Pagas no prorrateadas"),1316.49*(F781*G781),AND(D781=7,H781="Pagas prorrateadas"),1493.61*(F781*G781),AND(D781=7,H781="Pagas no prorrateadas"),1280.24*(F781*G781)))</f>
        <v/>
      </c>
      <c r="K781" s="106" t="str">
        <f aca="false">IF(A781="","",IF(J781-I781&gt;=0,"OK",J781-I781))</f>
        <v/>
      </c>
    </row>
    <row r="782" customFormat="false" ht="14.25" hidden="false" customHeight="true" outlineLevel="0" collapsed="false">
      <c r="A782" s="106"/>
      <c r="B782" s="106"/>
      <c r="C782" s="107"/>
      <c r="D782" s="106"/>
      <c r="E782" s="106"/>
      <c r="F782" s="130" t="str">
        <f aca="false">IF(A782="","",MIN(E782/(37.5),1))</f>
        <v/>
      </c>
      <c r="G782" s="108"/>
      <c r="H782" s="106"/>
      <c r="I782" s="107"/>
      <c r="J782" s="131" t="str">
        <f aca="false" t="array" ref="J782:J782">IF(A782="","",ifs(AND(D782=1,H782="Pagas prorrateadas"),2705.41*(F782*G782),AND(D782=1,H782="Pagas no prorrateadas"),2318.93*(F782*G782),AND(D782=2,H782="Pagas prorrateadas"),2246.07*(F782*G782),AND(D782=2,H782="Pagas no prorrateadas"),1925.21*(F782*G782),AND(D782=3,H782="Pagas prorrateadas"),1775.44*(F782*G782),AND(D782=3,H782="Pagas no prorrateadas"),1521.81*(F782*G782),AND(D782=5,H782="Pagas prorrateadas"),1535.9*(F782*G782),AND(D782=5,H782="Pagas no prorrateadas"),1316.49*(F782*G782),AND(D782=7,H782="Pagas prorrateadas"),1493.61*(F782*G782),AND(D782=7,H782="Pagas no prorrateadas"),1280.24*(F782*G782)))</f>
        <v/>
      </c>
      <c r="K782" s="106" t="str">
        <f aca="false">IF(A782="","",IF(J782-I782&gt;=0,"OK",J782-I782))</f>
        <v/>
      </c>
    </row>
    <row r="783" customFormat="false" ht="14.25" hidden="false" customHeight="true" outlineLevel="0" collapsed="false">
      <c r="A783" s="106"/>
      <c r="B783" s="106"/>
      <c r="C783" s="107"/>
      <c r="D783" s="106"/>
      <c r="E783" s="106"/>
      <c r="F783" s="130" t="str">
        <f aca="false">IF(A783="","",MIN(E783/(37.5),1))</f>
        <v/>
      </c>
      <c r="G783" s="108"/>
      <c r="H783" s="106"/>
      <c r="I783" s="107"/>
      <c r="J783" s="131" t="str">
        <f aca="false" t="array" ref="J783:J783">IF(A783="","",ifs(AND(D783=1,H783="Pagas prorrateadas"),2705.41*(F783*G783),AND(D783=1,H783="Pagas no prorrateadas"),2318.93*(F783*G783),AND(D783=2,H783="Pagas prorrateadas"),2246.07*(F783*G783),AND(D783=2,H783="Pagas no prorrateadas"),1925.21*(F783*G783),AND(D783=3,H783="Pagas prorrateadas"),1775.44*(F783*G783),AND(D783=3,H783="Pagas no prorrateadas"),1521.81*(F783*G783),AND(D783=5,H783="Pagas prorrateadas"),1535.9*(F783*G783),AND(D783=5,H783="Pagas no prorrateadas"),1316.49*(F783*G783),AND(D783=7,H783="Pagas prorrateadas"),1493.61*(F783*G783),AND(D783=7,H783="Pagas no prorrateadas"),1280.24*(F783*G783)))</f>
        <v/>
      </c>
      <c r="K783" s="106" t="str">
        <f aca="false">IF(A783="","",IF(J783-I783&gt;=0,"OK",J783-I783))</f>
        <v/>
      </c>
    </row>
    <row r="784" customFormat="false" ht="14.25" hidden="false" customHeight="true" outlineLevel="0" collapsed="false">
      <c r="A784" s="106"/>
      <c r="B784" s="106"/>
      <c r="C784" s="107"/>
      <c r="D784" s="106"/>
      <c r="E784" s="106"/>
      <c r="F784" s="130" t="str">
        <f aca="false">IF(A784="","",MIN(E784/(37.5),1))</f>
        <v/>
      </c>
      <c r="G784" s="108"/>
      <c r="H784" s="106"/>
      <c r="I784" s="107"/>
      <c r="J784" s="131" t="str">
        <f aca="false" t="array" ref="J784:J784">IF(A784="","",ifs(AND(D784=1,H784="Pagas prorrateadas"),2705.41*(F784*G784),AND(D784=1,H784="Pagas no prorrateadas"),2318.93*(F784*G784),AND(D784=2,H784="Pagas prorrateadas"),2246.07*(F784*G784),AND(D784=2,H784="Pagas no prorrateadas"),1925.21*(F784*G784),AND(D784=3,H784="Pagas prorrateadas"),1775.44*(F784*G784),AND(D784=3,H784="Pagas no prorrateadas"),1521.81*(F784*G784),AND(D784=5,H784="Pagas prorrateadas"),1535.9*(F784*G784),AND(D784=5,H784="Pagas no prorrateadas"),1316.49*(F784*G784),AND(D784=7,H784="Pagas prorrateadas"),1493.61*(F784*G784),AND(D784=7,H784="Pagas no prorrateadas"),1280.24*(F784*G784)))</f>
        <v/>
      </c>
      <c r="K784" s="106" t="str">
        <f aca="false">IF(A784="","",IF(J784-I784&gt;=0,"OK",J784-I784))</f>
        <v/>
      </c>
    </row>
    <row r="785" customFormat="false" ht="14.25" hidden="false" customHeight="true" outlineLevel="0" collapsed="false">
      <c r="A785" s="106"/>
      <c r="B785" s="106"/>
      <c r="C785" s="107"/>
      <c r="D785" s="106"/>
      <c r="E785" s="106"/>
      <c r="F785" s="130" t="str">
        <f aca="false">IF(A785="","",MIN(E785/(37.5),1))</f>
        <v/>
      </c>
      <c r="G785" s="108"/>
      <c r="H785" s="106"/>
      <c r="I785" s="107"/>
      <c r="J785" s="131" t="str">
        <f aca="false" t="array" ref="J785:J785">IF(A785="","",ifs(AND(D785=1,H785="Pagas prorrateadas"),2705.41*(F785*G785),AND(D785=1,H785="Pagas no prorrateadas"),2318.93*(F785*G785),AND(D785=2,H785="Pagas prorrateadas"),2246.07*(F785*G785),AND(D785=2,H785="Pagas no prorrateadas"),1925.21*(F785*G785),AND(D785=3,H785="Pagas prorrateadas"),1775.44*(F785*G785),AND(D785=3,H785="Pagas no prorrateadas"),1521.81*(F785*G785),AND(D785=5,H785="Pagas prorrateadas"),1535.9*(F785*G785),AND(D785=5,H785="Pagas no prorrateadas"),1316.49*(F785*G785),AND(D785=7,H785="Pagas prorrateadas"),1493.61*(F785*G785),AND(D785=7,H785="Pagas no prorrateadas"),1280.24*(F785*G785)))</f>
        <v/>
      </c>
      <c r="K785" s="106" t="str">
        <f aca="false">IF(A785="","",IF(J785-I785&gt;=0,"OK",J785-I785))</f>
        <v/>
      </c>
    </row>
    <row r="786" customFormat="false" ht="14.25" hidden="false" customHeight="true" outlineLevel="0" collapsed="false">
      <c r="A786" s="106"/>
      <c r="B786" s="106"/>
      <c r="C786" s="107"/>
      <c r="D786" s="106"/>
      <c r="E786" s="106"/>
      <c r="F786" s="130" t="str">
        <f aca="false">IF(A786="","",MIN(E786/(37.5),1))</f>
        <v/>
      </c>
      <c r="G786" s="108"/>
      <c r="H786" s="106"/>
      <c r="I786" s="107"/>
      <c r="J786" s="131" t="str">
        <f aca="false" t="array" ref="J786:J786">IF(A786="","",ifs(AND(D786=1,H786="Pagas prorrateadas"),2705.41*(F786*G786),AND(D786=1,H786="Pagas no prorrateadas"),2318.93*(F786*G786),AND(D786=2,H786="Pagas prorrateadas"),2246.07*(F786*G786),AND(D786=2,H786="Pagas no prorrateadas"),1925.21*(F786*G786),AND(D786=3,H786="Pagas prorrateadas"),1775.44*(F786*G786),AND(D786=3,H786="Pagas no prorrateadas"),1521.81*(F786*G786),AND(D786=5,H786="Pagas prorrateadas"),1535.9*(F786*G786),AND(D786=5,H786="Pagas no prorrateadas"),1316.49*(F786*G786),AND(D786=7,H786="Pagas prorrateadas"),1493.61*(F786*G786),AND(D786=7,H786="Pagas no prorrateadas"),1280.24*(F786*G786)))</f>
        <v/>
      </c>
      <c r="K786" s="106" t="str">
        <f aca="false">IF(A786="","",IF(J786-I786&gt;=0,"OK",J786-I786))</f>
        <v/>
      </c>
    </row>
    <row r="787" customFormat="false" ht="14.25" hidden="false" customHeight="true" outlineLevel="0" collapsed="false">
      <c r="A787" s="106"/>
      <c r="B787" s="106"/>
      <c r="C787" s="107"/>
      <c r="D787" s="106"/>
      <c r="E787" s="106"/>
      <c r="F787" s="130" t="str">
        <f aca="false">IF(A787="","",MIN(E787/(37.5),1))</f>
        <v/>
      </c>
      <c r="G787" s="108"/>
      <c r="H787" s="106"/>
      <c r="I787" s="107"/>
      <c r="J787" s="131" t="str">
        <f aca="false" t="array" ref="J787:J787">IF(A787="","",ifs(AND(D787=1,H787="Pagas prorrateadas"),2705.41*(F787*G787),AND(D787=1,H787="Pagas no prorrateadas"),2318.93*(F787*G787),AND(D787=2,H787="Pagas prorrateadas"),2246.07*(F787*G787),AND(D787=2,H787="Pagas no prorrateadas"),1925.21*(F787*G787),AND(D787=3,H787="Pagas prorrateadas"),1775.44*(F787*G787),AND(D787=3,H787="Pagas no prorrateadas"),1521.81*(F787*G787),AND(D787=5,H787="Pagas prorrateadas"),1535.9*(F787*G787),AND(D787=5,H787="Pagas no prorrateadas"),1316.49*(F787*G787),AND(D787=7,H787="Pagas prorrateadas"),1493.61*(F787*G787),AND(D787=7,H787="Pagas no prorrateadas"),1280.24*(F787*G787)))</f>
        <v/>
      </c>
      <c r="K787" s="106" t="str">
        <f aca="false">IF(A787="","",IF(J787-I787&gt;=0,"OK",J787-I787))</f>
        <v/>
      </c>
    </row>
    <row r="788" customFormat="false" ht="14.25" hidden="false" customHeight="true" outlineLevel="0" collapsed="false">
      <c r="A788" s="106"/>
      <c r="B788" s="106"/>
      <c r="C788" s="107"/>
      <c r="D788" s="106"/>
      <c r="E788" s="106"/>
      <c r="F788" s="130" t="str">
        <f aca="false">IF(A788="","",MIN(E788/(37.5),1))</f>
        <v/>
      </c>
      <c r="G788" s="108"/>
      <c r="H788" s="106"/>
      <c r="I788" s="107"/>
      <c r="J788" s="131" t="str">
        <f aca="false" t="array" ref="J788:J788">IF(A788="","",ifs(AND(D788=1,H788="Pagas prorrateadas"),2705.41*(F788*G788),AND(D788=1,H788="Pagas no prorrateadas"),2318.93*(F788*G788),AND(D788=2,H788="Pagas prorrateadas"),2246.07*(F788*G788),AND(D788=2,H788="Pagas no prorrateadas"),1925.21*(F788*G788),AND(D788=3,H788="Pagas prorrateadas"),1775.44*(F788*G788),AND(D788=3,H788="Pagas no prorrateadas"),1521.81*(F788*G788),AND(D788=5,H788="Pagas prorrateadas"),1535.9*(F788*G788),AND(D788=5,H788="Pagas no prorrateadas"),1316.49*(F788*G788),AND(D788=7,H788="Pagas prorrateadas"),1493.61*(F788*G788),AND(D788=7,H788="Pagas no prorrateadas"),1280.24*(F788*G788)))</f>
        <v/>
      </c>
      <c r="K788" s="106" t="str">
        <f aca="false">IF(A788="","",IF(J788-I788&gt;=0,"OK",J788-I788))</f>
        <v/>
      </c>
    </row>
    <row r="789" customFormat="false" ht="14.25" hidden="false" customHeight="true" outlineLevel="0" collapsed="false">
      <c r="A789" s="106"/>
      <c r="B789" s="106"/>
      <c r="C789" s="107"/>
      <c r="D789" s="106"/>
      <c r="E789" s="106"/>
      <c r="F789" s="130" t="str">
        <f aca="false">IF(A789="","",MIN(E789/(37.5),1))</f>
        <v/>
      </c>
      <c r="G789" s="108"/>
      <c r="H789" s="106"/>
      <c r="I789" s="107"/>
      <c r="J789" s="131" t="str">
        <f aca="false" t="array" ref="J789:J789">IF(A789="","",ifs(AND(D789=1,H789="Pagas prorrateadas"),2705.41*(F789*G789),AND(D789=1,H789="Pagas no prorrateadas"),2318.93*(F789*G789),AND(D789=2,H789="Pagas prorrateadas"),2246.07*(F789*G789),AND(D789=2,H789="Pagas no prorrateadas"),1925.21*(F789*G789),AND(D789=3,H789="Pagas prorrateadas"),1775.44*(F789*G789),AND(D789=3,H789="Pagas no prorrateadas"),1521.81*(F789*G789),AND(D789=5,H789="Pagas prorrateadas"),1535.9*(F789*G789),AND(D789=5,H789="Pagas no prorrateadas"),1316.49*(F789*G789),AND(D789=7,H789="Pagas prorrateadas"),1493.61*(F789*G789),AND(D789=7,H789="Pagas no prorrateadas"),1280.24*(F789*G789)))</f>
        <v/>
      </c>
      <c r="K789" s="106" t="str">
        <f aca="false">IF(A789="","",IF(J789-I789&gt;=0,"OK",J789-I789))</f>
        <v/>
      </c>
    </row>
    <row r="790" customFormat="false" ht="14.25" hidden="false" customHeight="true" outlineLevel="0" collapsed="false">
      <c r="A790" s="106"/>
      <c r="B790" s="106"/>
      <c r="C790" s="107"/>
      <c r="D790" s="106"/>
      <c r="E790" s="106"/>
      <c r="F790" s="130" t="str">
        <f aca="false">IF(A790="","",MIN(E790/(37.5),1))</f>
        <v/>
      </c>
      <c r="G790" s="108"/>
      <c r="H790" s="106"/>
      <c r="I790" s="107"/>
      <c r="J790" s="131" t="str">
        <f aca="false" t="array" ref="J790:J790">IF(A790="","",ifs(AND(D790=1,H790="Pagas prorrateadas"),2705.41*(F790*G790),AND(D790=1,H790="Pagas no prorrateadas"),2318.93*(F790*G790),AND(D790=2,H790="Pagas prorrateadas"),2246.07*(F790*G790),AND(D790=2,H790="Pagas no prorrateadas"),1925.21*(F790*G790),AND(D790=3,H790="Pagas prorrateadas"),1775.44*(F790*G790),AND(D790=3,H790="Pagas no prorrateadas"),1521.81*(F790*G790),AND(D790=5,H790="Pagas prorrateadas"),1535.9*(F790*G790),AND(D790=5,H790="Pagas no prorrateadas"),1316.49*(F790*G790),AND(D790=7,H790="Pagas prorrateadas"),1493.61*(F790*G790),AND(D790=7,H790="Pagas no prorrateadas"),1280.24*(F790*G790)))</f>
        <v/>
      </c>
      <c r="K790" s="106" t="str">
        <f aca="false">IF(A790="","",IF(J790-I790&gt;=0,"OK",J790-I790))</f>
        <v/>
      </c>
    </row>
    <row r="791" customFormat="false" ht="14.25" hidden="false" customHeight="true" outlineLevel="0" collapsed="false">
      <c r="A791" s="106"/>
      <c r="B791" s="106"/>
      <c r="C791" s="107"/>
      <c r="D791" s="106"/>
      <c r="E791" s="106"/>
      <c r="F791" s="130" t="str">
        <f aca="false">IF(A791="","",MIN(E791/(37.5),1))</f>
        <v/>
      </c>
      <c r="G791" s="108"/>
      <c r="H791" s="106"/>
      <c r="I791" s="107"/>
      <c r="J791" s="131" t="str">
        <f aca="false" t="array" ref="J791:J791">IF(A791="","",ifs(AND(D791=1,H791="Pagas prorrateadas"),2705.41*(F791*G791),AND(D791=1,H791="Pagas no prorrateadas"),2318.93*(F791*G791),AND(D791=2,H791="Pagas prorrateadas"),2246.07*(F791*G791),AND(D791=2,H791="Pagas no prorrateadas"),1925.21*(F791*G791),AND(D791=3,H791="Pagas prorrateadas"),1775.44*(F791*G791),AND(D791=3,H791="Pagas no prorrateadas"),1521.81*(F791*G791),AND(D791=5,H791="Pagas prorrateadas"),1535.9*(F791*G791),AND(D791=5,H791="Pagas no prorrateadas"),1316.49*(F791*G791),AND(D791=7,H791="Pagas prorrateadas"),1493.61*(F791*G791),AND(D791=7,H791="Pagas no prorrateadas"),1280.24*(F791*G791)))</f>
        <v/>
      </c>
      <c r="K791" s="106" t="str">
        <f aca="false">IF(A791="","",IF(J791-I791&gt;=0,"OK",J791-I791))</f>
        <v/>
      </c>
    </row>
    <row r="792" customFormat="false" ht="14.25" hidden="false" customHeight="true" outlineLevel="0" collapsed="false">
      <c r="A792" s="106"/>
      <c r="B792" s="106"/>
      <c r="C792" s="107"/>
      <c r="D792" s="106"/>
      <c r="E792" s="106"/>
      <c r="F792" s="130" t="str">
        <f aca="false">IF(A792="","",MIN(E792/(37.5),1))</f>
        <v/>
      </c>
      <c r="G792" s="108"/>
      <c r="H792" s="106"/>
      <c r="I792" s="107"/>
      <c r="J792" s="131" t="str">
        <f aca="false" t="array" ref="J792:J792">IF(A792="","",ifs(AND(D792=1,H792="Pagas prorrateadas"),2705.41*(F792*G792),AND(D792=1,H792="Pagas no prorrateadas"),2318.93*(F792*G792),AND(D792=2,H792="Pagas prorrateadas"),2246.07*(F792*G792),AND(D792=2,H792="Pagas no prorrateadas"),1925.21*(F792*G792),AND(D792=3,H792="Pagas prorrateadas"),1775.44*(F792*G792),AND(D792=3,H792="Pagas no prorrateadas"),1521.81*(F792*G792),AND(D792=5,H792="Pagas prorrateadas"),1535.9*(F792*G792),AND(D792=5,H792="Pagas no prorrateadas"),1316.49*(F792*G792),AND(D792=7,H792="Pagas prorrateadas"),1493.61*(F792*G792),AND(D792=7,H792="Pagas no prorrateadas"),1280.24*(F792*G792)))</f>
        <v/>
      </c>
      <c r="K792" s="106" t="str">
        <f aca="false">IF(A792="","",IF(J792-I792&gt;=0,"OK",J792-I792))</f>
        <v/>
      </c>
    </row>
    <row r="793" customFormat="false" ht="14.25" hidden="false" customHeight="true" outlineLevel="0" collapsed="false">
      <c r="A793" s="106"/>
      <c r="B793" s="106"/>
      <c r="C793" s="107"/>
      <c r="D793" s="106"/>
      <c r="E793" s="106"/>
      <c r="F793" s="130" t="str">
        <f aca="false">IF(A793="","",MIN(E793/(37.5),1))</f>
        <v/>
      </c>
      <c r="G793" s="108"/>
      <c r="H793" s="106"/>
      <c r="I793" s="107"/>
      <c r="J793" s="131" t="str">
        <f aca="false" t="array" ref="J793:J793">IF(A793="","",ifs(AND(D793=1,H793="Pagas prorrateadas"),2705.41*(F793*G793),AND(D793=1,H793="Pagas no prorrateadas"),2318.93*(F793*G793),AND(D793=2,H793="Pagas prorrateadas"),2246.07*(F793*G793),AND(D793=2,H793="Pagas no prorrateadas"),1925.21*(F793*G793),AND(D793=3,H793="Pagas prorrateadas"),1775.44*(F793*G793),AND(D793=3,H793="Pagas no prorrateadas"),1521.81*(F793*G793),AND(D793=5,H793="Pagas prorrateadas"),1535.9*(F793*G793),AND(D793=5,H793="Pagas no prorrateadas"),1316.49*(F793*G793),AND(D793=7,H793="Pagas prorrateadas"),1493.61*(F793*G793),AND(D793=7,H793="Pagas no prorrateadas"),1280.24*(F793*G793)))</f>
        <v/>
      </c>
      <c r="K793" s="106" t="str">
        <f aca="false">IF(A793="","",IF(J793-I793&gt;=0,"OK",J793-I793))</f>
        <v/>
      </c>
    </row>
    <row r="794" customFormat="false" ht="14.25" hidden="false" customHeight="true" outlineLevel="0" collapsed="false">
      <c r="A794" s="106"/>
      <c r="B794" s="106"/>
      <c r="C794" s="107"/>
      <c r="D794" s="106"/>
      <c r="E794" s="106"/>
      <c r="F794" s="130" t="str">
        <f aca="false">IF(A794="","",MIN(E794/(37.5),1))</f>
        <v/>
      </c>
      <c r="G794" s="108"/>
      <c r="H794" s="106"/>
      <c r="I794" s="107"/>
      <c r="J794" s="131" t="str">
        <f aca="false" t="array" ref="J794:J794">IF(A794="","",ifs(AND(D794=1,H794="Pagas prorrateadas"),2705.41*(F794*G794),AND(D794=1,H794="Pagas no prorrateadas"),2318.93*(F794*G794),AND(D794=2,H794="Pagas prorrateadas"),2246.07*(F794*G794),AND(D794=2,H794="Pagas no prorrateadas"),1925.21*(F794*G794),AND(D794=3,H794="Pagas prorrateadas"),1775.44*(F794*G794),AND(D794=3,H794="Pagas no prorrateadas"),1521.81*(F794*G794),AND(D794=5,H794="Pagas prorrateadas"),1535.9*(F794*G794),AND(D794=5,H794="Pagas no prorrateadas"),1316.49*(F794*G794),AND(D794=7,H794="Pagas prorrateadas"),1493.61*(F794*G794),AND(D794=7,H794="Pagas no prorrateadas"),1280.24*(F794*G794)))</f>
        <v/>
      </c>
      <c r="K794" s="106" t="str">
        <f aca="false">IF(A794="","",IF(J794-I794&gt;=0,"OK",J794-I794))</f>
        <v/>
      </c>
    </row>
    <row r="795" customFormat="false" ht="14.25" hidden="false" customHeight="true" outlineLevel="0" collapsed="false">
      <c r="A795" s="106"/>
      <c r="B795" s="106"/>
      <c r="C795" s="107"/>
      <c r="D795" s="106"/>
      <c r="E795" s="106"/>
      <c r="F795" s="130" t="str">
        <f aca="false">IF(A795="","",MIN(E795/(37.5),1))</f>
        <v/>
      </c>
      <c r="G795" s="108"/>
      <c r="H795" s="106"/>
      <c r="I795" s="107"/>
      <c r="J795" s="131" t="str">
        <f aca="false" t="array" ref="J795:J795">IF(A795="","",ifs(AND(D795=1,H795="Pagas prorrateadas"),2705.41*(F795*G795),AND(D795=1,H795="Pagas no prorrateadas"),2318.93*(F795*G795),AND(D795=2,H795="Pagas prorrateadas"),2246.07*(F795*G795),AND(D795=2,H795="Pagas no prorrateadas"),1925.21*(F795*G795),AND(D795=3,H795="Pagas prorrateadas"),1775.44*(F795*G795),AND(D795=3,H795="Pagas no prorrateadas"),1521.81*(F795*G795),AND(D795=5,H795="Pagas prorrateadas"),1535.9*(F795*G795),AND(D795=5,H795="Pagas no prorrateadas"),1316.49*(F795*G795),AND(D795=7,H795="Pagas prorrateadas"),1493.61*(F795*G795),AND(D795=7,H795="Pagas no prorrateadas"),1280.24*(F795*G795)))</f>
        <v/>
      </c>
      <c r="K795" s="106" t="str">
        <f aca="false">IF(A795="","",IF(J795-I795&gt;=0,"OK",J795-I795))</f>
        <v/>
      </c>
    </row>
    <row r="796" customFormat="false" ht="14.25" hidden="false" customHeight="true" outlineLevel="0" collapsed="false">
      <c r="A796" s="106"/>
      <c r="B796" s="106"/>
      <c r="C796" s="107"/>
      <c r="D796" s="106"/>
      <c r="E796" s="106"/>
      <c r="F796" s="130" t="str">
        <f aca="false">IF(A796="","",MIN(E796/(37.5),1))</f>
        <v/>
      </c>
      <c r="G796" s="108"/>
      <c r="H796" s="106"/>
      <c r="I796" s="107"/>
      <c r="J796" s="131" t="str">
        <f aca="false" t="array" ref="J796:J796">IF(A796="","",ifs(AND(D796=1,H796="Pagas prorrateadas"),2705.41*(F796*G796),AND(D796=1,H796="Pagas no prorrateadas"),2318.93*(F796*G796),AND(D796=2,H796="Pagas prorrateadas"),2246.07*(F796*G796),AND(D796=2,H796="Pagas no prorrateadas"),1925.21*(F796*G796),AND(D796=3,H796="Pagas prorrateadas"),1775.44*(F796*G796),AND(D796=3,H796="Pagas no prorrateadas"),1521.81*(F796*G796),AND(D796=5,H796="Pagas prorrateadas"),1535.9*(F796*G796),AND(D796=5,H796="Pagas no prorrateadas"),1316.49*(F796*G796),AND(D796=7,H796="Pagas prorrateadas"),1493.61*(F796*G796),AND(D796=7,H796="Pagas no prorrateadas"),1280.24*(F796*G796)))</f>
        <v/>
      </c>
      <c r="K796" s="106" t="str">
        <f aca="false">IF(A796="","",IF(J796-I796&gt;=0,"OK",J796-I796))</f>
        <v/>
      </c>
    </row>
    <row r="797" customFormat="false" ht="14.25" hidden="false" customHeight="true" outlineLevel="0" collapsed="false">
      <c r="A797" s="106"/>
      <c r="B797" s="106"/>
      <c r="C797" s="107"/>
      <c r="D797" s="106"/>
      <c r="E797" s="106"/>
      <c r="F797" s="130" t="str">
        <f aca="false">IF(A797="","",MIN(E797/(37.5),1))</f>
        <v/>
      </c>
      <c r="G797" s="108"/>
      <c r="H797" s="106"/>
      <c r="I797" s="107"/>
      <c r="J797" s="131" t="str">
        <f aca="false" t="array" ref="J797:J797">IF(A797="","",ifs(AND(D797=1,H797="Pagas prorrateadas"),2705.41*(F797*G797),AND(D797=1,H797="Pagas no prorrateadas"),2318.93*(F797*G797),AND(D797=2,H797="Pagas prorrateadas"),2246.07*(F797*G797),AND(D797=2,H797="Pagas no prorrateadas"),1925.21*(F797*G797),AND(D797=3,H797="Pagas prorrateadas"),1775.44*(F797*G797),AND(D797=3,H797="Pagas no prorrateadas"),1521.81*(F797*G797),AND(D797=5,H797="Pagas prorrateadas"),1535.9*(F797*G797),AND(D797=5,H797="Pagas no prorrateadas"),1316.49*(F797*G797),AND(D797=7,H797="Pagas prorrateadas"),1493.61*(F797*G797),AND(D797=7,H797="Pagas no prorrateadas"),1280.24*(F797*G797)))</f>
        <v/>
      </c>
      <c r="K797" s="106" t="str">
        <f aca="false">IF(A797="","",IF(J797-I797&gt;=0,"OK",J797-I797))</f>
        <v/>
      </c>
    </row>
    <row r="798" customFormat="false" ht="14.25" hidden="false" customHeight="true" outlineLevel="0" collapsed="false">
      <c r="A798" s="106"/>
      <c r="B798" s="106"/>
      <c r="C798" s="107"/>
      <c r="D798" s="106"/>
      <c r="E798" s="106"/>
      <c r="F798" s="130" t="str">
        <f aca="false">IF(A798="","",MIN(E798/(37.5),1))</f>
        <v/>
      </c>
      <c r="G798" s="108"/>
      <c r="H798" s="106"/>
      <c r="I798" s="107"/>
      <c r="J798" s="131" t="str">
        <f aca="false" t="array" ref="J798:J798">IF(A798="","",ifs(AND(D798=1,H798="Pagas prorrateadas"),2705.41*(F798*G798),AND(D798=1,H798="Pagas no prorrateadas"),2318.93*(F798*G798),AND(D798=2,H798="Pagas prorrateadas"),2246.07*(F798*G798),AND(D798=2,H798="Pagas no prorrateadas"),1925.21*(F798*G798),AND(D798=3,H798="Pagas prorrateadas"),1775.44*(F798*G798),AND(D798=3,H798="Pagas no prorrateadas"),1521.81*(F798*G798),AND(D798=5,H798="Pagas prorrateadas"),1535.9*(F798*G798),AND(D798=5,H798="Pagas no prorrateadas"),1316.49*(F798*G798),AND(D798=7,H798="Pagas prorrateadas"),1493.61*(F798*G798),AND(D798=7,H798="Pagas no prorrateadas"),1280.24*(F798*G798)))</f>
        <v/>
      </c>
      <c r="K798" s="106" t="str">
        <f aca="false">IF(A798="","",IF(J798-I798&gt;=0,"OK",J798-I798))</f>
        <v/>
      </c>
    </row>
    <row r="799" customFormat="false" ht="14.25" hidden="false" customHeight="true" outlineLevel="0" collapsed="false">
      <c r="A799" s="106"/>
      <c r="B799" s="106"/>
      <c r="C799" s="107"/>
      <c r="D799" s="106"/>
      <c r="E799" s="106"/>
      <c r="F799" s="130" t="str">
        <f aca="false">IF(A799="","",MIN(E799/(37.5),1))</f>
        <v/>
      </c>
      <c r="G799" s="108"/>
      <c r="H799" s="106"/>
      <c r="I799" s="107"/>
      <c r="J799" s="131" t="str">
        <f aca="false" t="array" ref="J799:J799">IF(A799="","",ifs(AND(D799=1,H799="Pagas prorrateadas"),2705.41*(F799*G799),AND(D799=1,H799="Pagas no prorrateadas"),2318.93*(F799*G799),AND(D799=2,H799="Pagas prorrateadas"),2246.07*(F799*G799),AND(D799=2,H799="Pagas no prorrateadas"),1925.21*(F799*G799),AND(D799=3,H799="Pagas prorrateadas"),1775.44*(F799*G799),AND(D799=3,H799="Pagas no prorrateadas"),1521.81*(F799*G799),AND(D799=5,H799="Pagas prorrateadas"),1535.9*(F799*G799),AND(D799=5,H799="Pagas no prorrateadas"),1316.49*(F799*G799),AND(D799=7,H799="Pagas prorrateadas"),1493.61*(F799*G799),AND(D799=7,H799="Pagas no prorrateadas"),1280.24*(F799*G799)))</f>
        <v/>
      </c>
      <c r="K799" s="106" t="str">
        <f aca="false">IF(A799="","",IF(J799-I799&gt;=0,"OK",J799-I799))</f>
        <v/>
      </c>
    </row>
    <row r="800" customFormat="false" ht="14.25" hidden="false" customHeight="true" outlineLevel="0" collapsed="false">
      <c r="A800" s="106"/>
      <c r="B800" s="106"/>
      <c r="C800" s="107"/>
      <c r="D800" s="106"/>
      <c r="E800" s="106"/>
      <c r="F800" s="130" t="str">
        <f aca="false">IF(A800="","",MIN(E800/(37.5),1))</f>
        <v/>
      </c>
      <c r="G800" s="108"/>
      <c r="H800" s="106"/>
      <c r="I800" s="107"/>
      <c r="J800" s="131" t="str">
        <f aca="false" t="array" ref="J800:J800">IF(A800="","",ifs(AND(D800=1,H800="Pagas prorrateadas"),2705.41*(F800*G800),AND(D800=1,H800="Pagas no prorrateadas"),2318.93*(F800*G800),AND(D800=2,H800="Pagas prorrateadas"),2246.07*(F800*G800),AND(D800=2,H800="Pagas no prorrateadas"),1925.21*(F800*G800),AND(D800=3,H800="Pagas prorrateadas"),1775.44*(F800*G800),AND(D800=3,H800="Pagas no prorrateadas"),1521.81*(F800*G800),AND(D800=5,H800="Pagas prorrateadas"),1535.9*(F800*G800),AND(D800=5,H800="Pagas no prorrateadas"),1316.49*(F800*G800),AND(D800=7,H800="Pagas prorrateadas"),1493.61*(F800*G800),AND(D800=7,H800="Pagas no prorrateadas"),1280.24*(F800*G800)))</f>
        <v/>
      </c>
      <c r="K800" s="106" t="str">
        <f aca="false">IF(A800="","",IF(J800-I800&gt;=0,"OK",J800-I800))</f>
        <v/>
      </c>
    </row>
    <row r="801" customFormat="false" ht="14.25" hidden="false" customHeight="true" outlineLevel="0" collapsed="false">
      <c r="A801" s="106"/>
      <c r="B801" s="106"/>
      <c r="C801" s="107"/>
      <c r="D801" s="106"/>
      <c r="E801" s="106"/>
      <c r="F801" s="130" t="str">
        <f aca="false">IF(A801="","",MIN(E801/(37.5),1))</f>
        <v/>
      </c>
      <c r="G801" s="108"/>
      <c r="H801" s="106"/>
      <c r="I801" s="107"/>
      <c r="J801" s="131" t="str">
        <f aca="false" t="array" ref="J801:J801">IF(A801="","",ifs(AND(D801=1,H801="Pagas prorrateadas"),2705.41*(F801*G801),AND(D801=1,H801="Pagas no prorrateadas"),2318.93*(F801*G801),AND(D801=2,H801="Pagas prorrateadas"),2246.07*(F801*G801),AND(D801=2,H801="Pagas no prorrateadas"),1925.21*(F801*G801),AND(D801=3,H801="Pagas prorrateadas"),1775.44*(F801*G801),AND(D801=3,H801="Pagas no prorrateadas"),1521.81*(F801*G801),AND(D801=5,H801="Pagas prorrateadas"),1535.9*(F801*G801),AND(D801=5,H801="Pagas no prorrateadas"),1316.49*(F801*G801),AND(D801=7,H801="Pagas prorrateadas"),1493.61*(F801*G801),AND(D801=7,H801="Pagas no prorrateadas"),1280.24*(F801*G801)))</f>
        <v/>
      </c>
      <c r="K801" s="106" t="str">
        <f aca="false">IF(A801="","",IF(J801-I801&gt;=0,"OK",J801-I801))</f>
        <v/>
      </c>
    </row>
    <row r="802" customFormat="false" ht="14.25" hidden="false" customHeight="true" outlineLevel="0" collapsed="false">
      <c r="A802" s="106"/>
      <c r="B802" s="106"/>
      <c r="C802" s="107"/>
      <c r="D802" s="106"/>
      <c r="E802" s="106"/>
      <c r="F802" s="130" t="str">
        <f aca="false">IF(A802="","",MIN(E802/(37.5),1))</f>
        <v/>
      </c>
      <c r="G802" s="108"/>
      <c r="H802" s="106"/>
      <c r="I802" s="107"/>
      <c r="J802" s="131" t="str">
        <f aca="false" t="array" ref="J802:J802">IF(A802="","",ifs(AND(D802=1,H802="Pagas prorrateadas"),2705.41*(F802*G802),AND(D802=1,H802="Pagas no prorrateadas"),2318.93*(F802*G802),AND(D802=2,H802="Pagas prorrateadas"),2246.07*(F802*G802),AND(D802=2,H802="Pagas no prorrateadas"),1925.21*(F802*G802),AND(D802=3,H802="Pagas prorrateadas"),1775.44*(F802*G802),AND(D802=3,H802="Pagas no prorrateadas"),1521.81*(F802*G802),AND(D802=5,H802="Pagas prorrateadas"),1535.9*(F802*G802),AND(D802=5,H802="Pagas no prorrateadas"),1316.49*(F802*G802),AND(D802=7,H802="Pagas prorrateadas"),1493.61*(F802*G802),AND(D802=7,H802="Pagas no prorrateadas"),1280.24*(F802*G802)))</f>
        <v/>
      </c>
      <c r="K802" s="106" t="str">
        <f aca="false">IF(A802="","",IF(J802-I802&gt;=0,"OK",J802-I802))</f>
        <v/>
      </c>
    </row>
    <row r="803" customFormat="false" ht="14.25" hidden="false" customHeight="true" outlineLevel="0" collapsed="false">
      <c r="A803" s="106"/>
      <c r="B803" s="106"/>
      <c r="C803" s="107"/>
      <c r="D803" s="106"/>
      <c r="E803" s="106"/>
      <c r="F803" s="130" t="str">
        <f aca="false">IF(A803="","",MIN(E803/(37.5),1))</f>
        <v/>
      </c>
      <c r="G803" s="108"/>
      <c r="H803" s="106"/>
      <c r="I803" s="107"/>
      <c r="J803" s="131" t="str">
        <f aca="false" t="array" ref="J803:J803">IF(A803="","",ifs(AND(D803=1,H803="Pagas prorrateadas"),2705.41*(F803*G803),AND(D803=1,H803="Pagas no prorrateadas"),2318.93*(F803*G803),AND(D803=2,H803="Pagas prorrateadas"),2246.07*(F803*G803),AND(D803=2,H803="Pagas no prorrateadas"),1925.21*(F803*G803),AND(D803=3,H803="Pagas prorrateadas"),1775.44*(F803*G803),AND(D803=3,H803="Pagas no prorrateadas"),1521.81*(F803*G803),AND(D803=5,H803="Pagas prorrateadas"),1535.9*(F803*G803),AND(D803=5,H803="Pagas no prorrateadas"),1316.49*(F803*G803),AND(D803=7,H803="Pagas prorrateadas"),1493.61*(F803*G803),AND(D803=7,H803="Pagas no prorrateadas"),1280.24*(F803*G803)))</f>
        <v/>
      </c>
      <c r="K803" s="106" t="str">
        <f aca="false">IF(A803="","",IF(J803-I803&gt;=0,"OK",J803-I803))</f>
        <v/>
      </c>
    </row>
    <row r="804" customFormat="false" ht="14.25" hidden="false" customHeight="true" outlineLevel="0" collapsed="false">
      <c r="A804" s="106"/>
      <c r="B804" s="106"/>
      <c r="C804" s="107"/>
      <c r="D804" s="106"/>
      <c r="E804" s="106"/>
      <c r="F804" s="130" t="str">
        <f aca="false">IF(A804="","",MIN(E804/(37.5),1))</f>
        <v/>
      </c>
      <c r="G804" s="108"/>
      <c r="H804" s="106"/>
      <c r="I804" s="107"/>
      <c r="J804" s="131" t="str">
        <f aca="false" t="array" ref="J804:J804">IF(A804="","",ifs(AND(D804=1,H804="Pagas prorrateadas"),2705.41*(F804*G804),AND(D804=1,H804="Pagas no prorrateadas"),2318.93*(F804*G804),AND(D804=2,H804="Pagas prorrateadas"),2246.07*(F804*G804),AND(D804=2,H804="Pagas no prorrateadas"),1925.21*(F804*G804),AND(D804=3,H804="Pagas prorrateadas"),1775.44*(F804*G804),AND(D804=3,H804="Pagas no prorrateadas"),1521.81*(F804*G804),AND(D804=5,H804="Pagas prorrateadas"),1535.9*(F804*G804),AND(D804=5,H804="Pagas no prorrateadas"),1316.49*(F804*G804),AND(D804=7,H804="Pagas prorrateadas"),1493.61*(F804*G804),AND(D804=7,H804="Pagas no prorrateadas"),1280.24*(F804*G804)))</f>
        <v/>
      </c>
      <c r="K804" s="106" t="str">
        <f aca="false">IF(A804="","",IF(J804-I804&gt;=0,"OK",J804-I804))</f>
        <v/>
      </c>
    </row>
    <row r="805" customFormat="false" ht="14.25" hidden="false" customHeight="true" outlineLevel="0" collapsed="false">
      <c r="A805" s="106"/>
      <c r="B805" s="106"/>
      <c r="C805" s="107"/>
      <c r="D805" s="106"/>
      <c r="E805" s="106"/>
      <c r="F805" s="130" t="str">
        <f aca="false">IF(A805="","",MIN(E805/(37.5),1))</f>
        <v/>
      </c>
      <c r="G805" s="108"/>
      <c r="H805" s="106"/>
      <c r="I805" s="107"/>
      <c r="J805" s="131" t="str">
        <f aca="false" t="array" ref="J805:J805">IF(A805="","",ifs(AND(D805=1,H805="Pagas prorrateadas"),2705.41*(F805*G805),AND(D805=1,H805="Pagas no prorrateadas"),2318.93*(F805*G805),AND(D805=2,H805="Pagas prorrateadas"),2246.07*(F805*G805),AND(D805=2,H805="Pagas no prorrateadas"),1925.21*(F805*G805),AND(D805=3,H805="Pagas prorrateadas"),1775.44*(F805*G805),AND(D805=3,H805="Pagas no prorrateadas"),1521.81*(F805*G805),AND(D805=5,H805="Pagas prorrateadas"),1535.9*(F805*G805),AND(D805=5,H805="Pagas no prorrateadas"),1316.49*(F805*G805),AND(D805=7,H805="Pagas prorrateadas"),1493.61*(F805*G805),AND(D805=7,H805="Pagas no prorrateadas"),1280.24*(F805*G805)))</f>
        <v/>
      </c>
      <c r="K805" s="106" t="str">
        <f aca="false">IF(A805="","",IF(J805-I805&gt;=0,"OK",J805-I805))</f>
        <v/>
      </c>
    </row>
    <row r="806" customFormat="false" ht="14.25" hidden="false" customHeight="true" outlineLevel="0" collapsed="false">
      <c r="A806" s="106"/>
      <c r="B806" s="106"/>
      <c r="C806" s="107"/>
      <c r="D806" s="106"/>
      <c r="E806" s="106"/>
      <c r="F806" s="130" t="str">
        <f aca="false">IF(A806="","",MIN(E806/(37.5),1))</f>
        <v/>
      </c>
      <c r="G806" s="108"/>
      <c r="H806" s="106"/>
      <c r="I806" s="107"/>
      <c r="J806" s="131" t="str">
        <f aca="false" t="array" ref="J806:J806">IF(A806="","",ifs(AND(D806=1,H806="Pagas prorrateadas"),2705.41*(F806*G806),AND(D806=1,H806="Pagas no prorrateadas"),2318.93*(F806*G806),AND(D806=2,H806="Pagas prorrateadas"),2246.07*(F806*G806),AND(D806=2,H806="Pagas no prorrateadas"),1925.21*(F806*G806),AND(D806=3,H806="Pagas prorrateadas"),1775.44*(F806*G806),AND(D806=3,H806="Pagas no prorrateadas"),1521.81*(F806*G806),AND(D806=5,H806="Pagas prorrateadas"),1535.9*(F806*G806),AND(D806=5,H806="Pagas no prorrateadas"),1316.49*(F806*G806),AND(D806=7,H806="Pagas prorrateadas"),1493.61*(F806*G806),AND(D806=7,H806="Pagas no prorrateadas"),1280.24*(F806*G806)))</f>
        <v/>
      </c>
      <c r="K806" s="106" t="str">
        <f aca="false">IF(A806="","",IF(J806-I806&gt;=0,"OK",J806-I806))</f>
        <v/>
      </c>
    </row>
    <row r="807" customFormat="false" ht="14.25" hidden="false" customHeight="true" outlineLevel="0" collapsed="false">
      <c r="A807" s="106"/>
      <c r="B807" s="106"/>
      <c r="C807" s="107"/>
      <c r="D807" s="106"/>
      <c r="E807" s="106"/>
      <c r="F807" s="130" t="str">
        <f aca="false">IF(A807="","",MIN(E807/(37.5),1))</f>
        <v/>
      </c>
      <c r="G807" s="108"/>
      <c r="H807" s="106"/>
      <c r="I807" s="107"/>
      <c r="J807" s="131" t="str">
        <f aca="false" t="array" ref="J807:J807">IF(A807="","",ifs(AND(D807=1,H807="Pagas prorrateadas"),2705.41*(F807*G807),AND(D807=1,H807="Pagas no prorrateadas"),2318.93*(F807*G807),AND(D807=2,H807="Pagas prorrateadas"),2246.07*(F807*G807),AND(D807=2,H807="Pagas no prorrateadas"),1925.21*(F807*G807),AND(D807=3,H807="Pagas prorrateadas"),1775.44*(F807*G807),AND(D807=3,H807="Pagas no prorrateadas"),1521.81*(F807*G807),AND(D807=5,H807="Pagas prorrateadas"),1535.9*(F807*G807),AND(D807=5,H807="Pagas no prorrateadas"),1316.49*(F807*G807),AND(D807=7,H807="Pagas prorrateadas"),1493.61*(F807*G807),AND(D807=7,H807="Pagas no prorrateadas"),1280.24*(F807*G807)))</f>
        <v/>
      </c>
      <c r="K807" s="106" t="str">
        <f aca="false">IF(A807="","",IF(J807-I807&gt;=0,"OK",J807-I807))</f>
        <v/>
      </c>
    </row>
    <row r="808" customFormat="false" ht="14.25" hidden="false" customHeight="true" outlineLevel="0" collapsed="false">
      <c r="A808" s="106"/>
      <c r="B808" s="106"/>
      <c r="C808" s="107"/>
      <c r="D808" s="106"/>
      <c r="E808" s="106"/>
      <c r="F808" s="130" t="str">
        <f aca="false">IF(A808="","",MIN(E808/(37.5),1))</f>
        <v/>
      </c>
      <c r="G808" s="108"/>
      <c r="H808" s="106"/>
      <c r="I808" s="107"/>
      <c r="J808" s="131" t="str">
        <f aca="false" t="array" ref="J808:J808">IF(A808="","",ifs(AND(D808=1,H808="Pagas prorrateadas"),2705.41*(F808*G808),AND(D808=1,H808="Pagas no prorrateadas"),2318.93*(F808*G808),AND(D808=2,H808="Pagas prorrateadas"),2246.07*(F808*G808),AND(D808=2,H808="Pagas no prorrateadas"),1925.21*(F808*G808),AND(D808=3,H808="Pagas prorrateadas"),1775.44*(F808*G808),AND(D808=3,H808="Pagas no prorrateadas"),1521.81*(F808*G808),AND(D808=5,H808="Pagas prorrateadas"),1535.9*(F808*G808),AND(D808=5,H808="Pagas no prorrateadas"),1316.49*(F808*G808),AND(D808=7,H808="Pagas prorrateadas"),1493.61*(F808*G808),AND(D808=7,H808="Pagas no prorrateadas"),1280.24*(F808*G808)))</f>
        <v/>
      </c>
      <c r="K808" s="106" t="str">
        <f aca="false">IF(A808="","",IF(J808-I808&gt;=0,"OK",J808-I808))</f>
        <v/>
      </c>
    </row>
    <row r="809" customFormat="false" ht="14.25" hidden="false" customHeight="true" outlineLevel="0" collapsed="false">
      <c r="A809" s="106"/>
      <c r="B809" s="106"/>
      <c r="C809" s="107"/>
      <c r="D809" s="106"/>
      <c r="E809" s="106"/>
      <c r="F809" s="130" t="str">
        <f aca="false">IF(A809="","",MIN(E809/(37.5),1))</f>
        <v/>
      </c>
      <c r="G809" s="108"/>
      <c r="H809" s="106"/>
      <c r="I809" s="107"/>
      <c r="J809" s="131" t="str">
        <f aca="false" t="array" ref="J809:J809">IF(A809="","",ifs(AND(D809=1,H809="Pagas prorrateadas"),2705.41*(F809*G809),AND(D809=1,H809="Pagas no prorrateadas"),2318.93*(F809*G809),AND(D809=2,H809="Pagas prorrateadas"),2246.07*(F809*G809),AND(D809=2,H809="Pagas no prorrateadas"),1925.21*(F809*G809),AND(D809=3,H809="Pagas prorrateadas"),1775.44*(F809*G809),AND(D809=3,H809="Pagas no prorrateadas"),1521.81*(F809*G809),AND(D809=5,H809="Pagas prorrateadas"),1535.9*(F809*G809),AND(D809=5,H809="Pagas no prorrateadas"),1316.49*(F809*G809),AND(D809=7,H809="Pagas prorrateadas"),1493.61*(F809*G809),AND(D809=7,H809="Pagas no prorrateadas"),1280.24*(F809*G809)))</f>
        <v/>
      </c>
      <c r="K809" s="106" t="str">
        <f aca="false">IF(A809="","",IF(J809-I809&gt;=0,"OK",J809-I809))</f>
        <v/>
      </c>
    </row>
    <row r="810" customFormat="false" ht="14.25" hidden="false" customHeight="true" outlineLevel="0" collapsed="false">
      <c r="A810" s="106"/>
      <c r="B810" s="106"/>
      <c r="C810" s="107"/>
      <c r="D810" s="106"/>
      <c r="E810" s="106"/>
      <c r="F810" s="130" t="str">
        <f aca="false">IF(A810="","",MIN(E810/(37.5),1))</f>
        <v/>
      </c>
      <c r="G810" s="108"/>
      <c r="H810" s="106"/>
      <c r="I810" s="107"/>
      <c r="J810" s="131" t="str">
        <f aca="false" t="array" ref="J810:J810">IF(A810="","",ifs(AND(D810=1,H810="Pagas prorrateadas"),2705.41*(F810*G810),AND(D810=1,H810="Pagas no prorrateadas"),2318.93*(F810*G810),AND(D810=2,H810="Pagas prorrateadas"),2246.07*(F810*G810),AND(D810=2,H810="Pagas no prorrateadas"),1925.21*(F810*G810),AND(D810=3,H810="Pagas prorrateadas"),1775.44*(F810*G810),AND(D810=3,H810="Pagas no prorrateadas"),1521.81*(F810*G810),AND(D810=5,H810="Pagas prorrateadas"),1535.9*(F810*G810),AND(D810=5,H810="Pagas no prorrateadas"),1316.49*(F810*G810),AND(D810=7,H810="Pagas prorrateadas"),1493.61*(F810*G810),AND(D810=7,H810="Pagas no prorrateadas"),1280.24*(F810*G810)))</f>
        <v/>
      </c>
      <c r="K810" s="106" t="str">
        <f aca="false">IF(A810="","",IF(J810-I810&gt;=0,"OK",J810-I810))</f>
        <v/>
      </c>
    </row>
    <row r="811" customFormat="false" ht="14.25" hidden="false" customHeight="true" outlineLevel="0" collapsed="false">
      <c r="A811" s="106"/>
      <c r="B811" s="106"/>
      <c r="C811" s="107"/>
      <c r="D811" s="106"/>
      <c r="E811" s="106"/>
      <c r="F811" s="130" t="str">
        <f aca="false">IF(A811="","",MIN(E811/(37.5),1))</f>
        <v/>
      </c>
      <c r="G811" s="108"/>
      <c r="H811" s="106"/>
      <c r="I811" s="107"/>
      <c r="J811" s="131" t="str">
        <f aca="false" t="array" ref="J811:J811">IF(A811="","",ifs(AND(D811=1,H811="Pagas prorrateadas"),2705.41*(F811*G811),AND(D811=1,H811="Pagas no prorrateadas"),2318.93*(F811*G811),AND(D811=2,H811="Pagas prorrateadas"),2246.07*(F811*G811),AND(D811=2,H811="Pagas no prorrateadas"),1925.21*(F811*G811),AND(D811=3,H811="Pagas prorrateadas"),1775.44*(F811*G811),AND(D811=3,H811="Pagas no prorrateadas"),1521.81*(F811*G811),AND(D811=5,H811="Pagas prorrateadas"),1535.9*(F811*G811),AND(D811=5,H811="Pagas no prorrateadas"),1316.49*(F811*G811),AND(D811=7,H811="Pagas prorrateadas"),1493.61*(F811*G811),AND(D811=7,H811="Pagas no prorrateadas"),1280.24*(F811*G811)))</f>
        <v/>
      </c>
      <c r="K811" s="106" t="str">
        <f aca="false">IF(A811="","",IF(J811-I811&gt;=0,"OK",J811-I811))</f>
        <v/>
      </c>
    </row>
    <row r="812" customFormat="false" ht="14.25" hidden="false" customHeight="true" outlineLevel="0" collapsed="false">
      <c r="A812" s="106"/>
      <c r="B812" s="106"/>
      <c r="C812" s="107"/>
      <c r="D812" s="106"/>
      <c r="E812" s="106"/>
      <c r="F812" s="130" t="str">
        <f aca="false">IF(A812="","",MIN(E812/(37.5),1))</f>
        <v/>
      </c>
      <c r="G812" s="108"/>
      <c r="H812" s="106"/>
      <c r="I812" s="107"/>
      <c r="J812" s="131" t="str">
        <f aca="false" t="array" ref="J812:J812">IF(A812="","",ifs(AND(D812=1,H812="Pagas prorrateadas"),2705.41*(F812*G812),AND(D812=1,H812="Pagas no prorrateadas"),2318.93*(F812*G812),AND(D812=2,H812="Pagas prorrateadas"),2246.07*(F812*G812),AND(D812=2,H812="Pagas no prorrateadas"),1925.21*(F812*G812),AND(D812=3,H812="Pagas prorrateadas"),1775.44*(F812*G812),AND(D812=3,H812="Pagas no prorrateadas"),1521.81*(F812*G812),AND(D812=5,H812="Pagas prorrateadas"),1535.9*(F812*G812),AND(D812=5,H812="Pagas no prorrateadas"),1316.49*(F812*G812),AND(D812=7,H812="Pagas prorrateadas"),1493.61*(F812*G812),AND(D812=7,H812="Pagas no prorrateadas"),1280.24*(F812*G812)))</f>
        <v/>
      </c>
      <c r="K812" s="106" t="str">
        <f aca="false">IF(A812="","",IF(J812-I812&gt;=0,"OK",J812-I812))</f>
        <v/>
      </c>
    </row>
    <row r="813" customFormat="false" ht="14.25" hidden="false" customHeight="true" outlineLevel="0" collapsed="false">
      <c r="A813" s="106"/>
      <c r="B813" s="106"/>
      <c r="C813" s="107"/>
      <c r="D813" s="106"/>
      <c r="E813" s="106"/>
      <c r="F813" s="130" t="str">
        <f aca="false">IF(A813="","",MIN(E813/(37.5),1))</f>
        <v/>
      </c>
      <c r="G813" s="108"/>
      <c r="H813" s="106"/>
      <c r="I813" s="107"/>
      <c r="J813" s="131" t="str">
        <f aca="false" t="array" ref="J813:J813">IF(A813="","",ifs(AND(D813=1,H813="Pagas prorrateadas"),2705.41*(F813*G813),AND(D813=1,H813="Pagas no prorrateadas"),2318.93*(F813*G813),AND(D813=2,H813="Pagas prorrateadas"),2246.07*(F813*G813),AND(D813=2,H813="Pagas no prorrateadas"),1925.21*(F813*G813),AND(D813=3,H813="Pagas prorrateadas"),1775.44*(F813*G813),AND(D813=3,H813="Pagas no prorrateadas"),1521.81*(F813*G813),AND(D813=5,H813="Pagas prorrateadas"),1535.9*(F813*G813),AND(D813=5,H813="Pagas no prorrateadas"),1316.49*(F813*G813),AND(D813=7,H813="Pagas prorrateadas"),1493.61*(F813*G813),AND(D813=7,H813="Pagas no prorrateadas"),1280.24*(F813*G813)))</f>
        <v/>
      </c>
      <c r="K813" s="106" t="str">
        <f aca="false">IF(A813="","",IF(J813-I813&gt;=0,"OK",J813-I813))</f>
        <v/>
      </c>
    </row>
    <row r="814" customFormat="false" ht="14.25" hidden="false" customHeight="true" outlineLevel="0" collapsed="false">
      <c r="A814" s="106"/>
      <c r="B814" s="106"/>
      <c r="C814" s="107"/>
      <c r="D814" s="106"/>
      <c r="E814" s="106"/>
      <c r="F814" s="130" t="str">
        <f aca="false">IF(A814="","",MIN(E814/(37.5),1))</f>
        <v/>
      </c>
      <c r="G814" s="108"/>
      <c r="H814" s="106"/>
      <c r="I814" s="107"/>
      <c r="J814" s="131" t="str">
        <f aca="false" t="array" ref="J814:J814">IF(A814="","",ifs(AND(D814=1,H814="Pagas prorrateadas"),2705.41*(F814*G814),AND(D814=1,H814="Pagas no prorrateadas"),2318.93*(F814*G814),AND(D814=2,H814="Pagas prorrateadas"),2246.07*(F814*G814),AND(D814=2,H814="Pagas no prorrateadas"),1925.21*(F814*G814),AND(D814=3,H814="Pagas prorrateadas"),1775.44*(F814*G814),AND(D814=3,H814="Pagas no prorrateadas"),1521.81*(F814*G814),AND(D814=5,H814="Pagas prorrateadas"),1535.9*(F814*G814),AND(D814=5,H814="Pagas no prorrateadas"),1316.49*(F814*G814),AND(D814=7,H814="Pagas prorrateadas"),1493.61*(F814*G814),AND(D814=7,H814="Pagas no prorrateadas"),1280.24*(F814*G814)))</f>
        <v/>
      </c>
      <c r="K814" s="106" t="str">
        <f aca="false">IF(A814="","",IF(J814-I814&gt;=0,"OK",J814-I814))</f>
        <v/>
      </c>
    </row>
    <row r="815" customFormat="false" ht="14.25" hidden="false" customHeight="true" outlineLevel="0" collapsed="false">
      <c r="A815" s="106"/>
      <c r="B815" s="106"/>
      <c r="C815" s="107"/>
      <c r="D815" s="106"/>
      <c r="E815" s="106"/>
      <c r="F815" s="130" t="str">
        <f aca="false">IF(A815="","",MIN(E815/(37.5),1))</f>
        <v/>
      </c>
      <c r="G815" s="108"/>
      <c r="H815" s="106"/>
      <c r="I815" s="107"/>
      <c r="J815" s="131" t="str">
        <f aca="false" t="array" ref="J815:J815">IF(A815="","",ifs(AND(D815=1,H815="Pagas prorrateadas"),2705.41*(F815*G815),AND(D815=1,H815="Pagas no prorrateadas"),2318.93*(F815*G815),AND(D815=2,H815="Pagas prorrateadas"),2246.07*(F815*G815),AND(D815=2,H815="Pagas no prorrateadas"),1925.21*(F815*G815),AND(D815=3,H815="Pagas prorrateadas"),1775.44*(F815*G815),AND(D815=3,H815="Pagas no prorrateadas"),1521.81*(F815*G815),AND(D815=5,H815="Pagas prorrateadas"),1535.9*(F815*G815),AND(D815=5,H815="Pagas no prorrateadas"),1316.49*(F815*G815),AND(D815=7,H815="Pagas prorrateadas"),1493.61*(F815*G815),AND(D815=7,H815="Pagas no prorrateadas"),1280.24*(F815*G815)))</f>
        <v/>
      </c>
      <c r="K815" s="106" t="str">
        <f aca="false">IF(A815="","",IF(J815-I815&gt;=0,"OK",J815-I815))</f>
        <v/>
      </c>
    </row>
    <row r="816" customFormat="false" ht="14.25" hidden="false" customHeight="true" outlineLevel="0" collapsed="false">
      <c r="A816" s="106"/>
      <c r="B816" s="106"/>
      <c r="C816" s="107"/>
      <c r="D816" s="106"/>
      <c r="E816" s="106"/>
      <c r="F816" s="130" t="str">
        <f aca="false">IF(A816="","",MIN(E816/(37.5),1))</f>
        <v/>
      </c>
      <c r="G816" s="108"/>
      <c r="H816" s="106"/>
      <c r="I816" s="107"/>
      <c r="J816" s="131" t="str">
        <f aca="false" t="array" ref="J816:J816">IF(A816="","",ifs(AND(D816=1,H816="Pagas prorrateadas"),2705.41*(F816*G816),AND(D816=1,H816="Pagas no prorrateadas"),2318.93*(F816*G816),AND(D816=2,H816="Pagas prorrateadas"),2246.07*(F816*G816),AND(D816=2,H816="Pagas no prorrateadas"),1925.21*(F816*G816),AND(D816=3,H816="Pagas prorrateadas"),1775.44*(F816*G816),AND(D816=3,H816="Pagas no prorrateadas"),1521.81*(F816*G816),AND(D816=5,H816="Pagas prorrateadas"),1535.9*(F816*G816),AND(D816=5,H816="Pagas no prorrateadas"),1316.49*(F816*G816),AND(D816=7,H816="Pagas prorrateadas"),1493.61*(F816*G816),AND(D816=7,H816="Pagas no prorrateadas"),1280.24*(F816*G816)))</f>
        <v/>
      </c>
      <c r="K816" s="106" t="str">
        <f aca="false">IF(A816="","",IF(J816-I816&gt;=0,"OK",J816-I816))</f>
        <v/>
      </c>
    </row>
    <row r="817" customFormat="false" ht="14.25" hidden="false" customHeight="true" outlineLevel="0" collapsed="false">
      <c r="A817" s="106"/>
      <c r="B817" s="106"/>
      <c r="C817" s="107"/>
      <c r="D817" s="106"/>
      <c r="E817" s="106"/>
      <c r="F817" s="130" t="str">
        <f aca="false">IF(A817="","",MIN(E817/(37.5),1))</f>
        <v/>
      </c>
      <c r="G817" s="108"/>
      <c r="H817" s="106"/>
      <c r="I817" s="107"/>
      <c r="J817" s="131" t="str">
        <f aca="false" t="array" ref="J817:J817">IF(A817="","",ifs(AND(D817=1,H817="Pagas prorrateadas"),2705.41*(F817*G817),AND(D817=1,H817="Pagas no prorrateadas"),2318.93*(F817*G817),AND(D817=2,H817="Pagas prorrateadas"),2246.07*(F817*G817),AND(D817=2,H817="Pagas no prorrateadas"),1925.21*(F817*G817),AND(D817=3,H817="Pagas prorrateadas"),1775.44*(F817*G817),AND(D817=3,H817="Pagas no prorrateadas"),1521.81*(F817*G817),AND(D817=5,H817="Pagas prorrateadas"),1535.9*(F817*G817),AND(D817=5,H817="Pagas no prorrateadas"),1316.49*(F817*G817),AND(D817=7,H817="Pagas prorrateadas"),1493.61*(F817*G817),AND(D817=7,H817="Pagas no prorrateadas"),1280.24*(F817*G817)))</f>
        <v/>
      </c>
      <c r="K817" s="106" t="str">
        <f aca="false">IF(A817="","",IF(J817-I817&gt;=0,"OK",J817-I817))</f>
        <v/>
      </c>
    </row>
    <row r="818" customFormat="false" ht="14.25" hidden="false" customHeight="true" outlineLevel="0" collapsed="false">
      <c r="A818" s="106"/>
      <c r="B818" s="106"/>
      <c r="C818" s="107"/>
      <c r="D818" s="106"/>
      <c r="E818" s="106"/>
      <c r="F818" s="130" t="str">
        <f aca="false">IF(A818="","",MIN(E818/(37.5),1))</f>
        <v/>
      </c>
      <c r="G818" s="108"/>
      <c r="H818" s="106"/>
      <c r="I818" s="107"/>
      <c r="J818" s="131" t="str">
        <f aca="false" t="array" ref="J818:J818">IF(A818="","",ifs(AND(D818=1,H818="Pagas prorrateadas"),2705.41*(F818*G818),AND(D818=1,H818="Pagas no prorrateadas"),2318.93*(F818*G818),AND(D818=2,H818="Pagas prorrateadas"),2246.07*(F818*G818),AND(D818=2,H818="Pagas no prorrateadas"),1925.21*(F818*G818),AND(D818=3,H818="Pagas prorrateadas"),1775.44*(F818*G818),AND(D818=3,H818="Pagas no prorrateadas"),1521.81*(F818*G818),AND(D818=5,H818="Pagas prorrateadas"),1535.9*(F818*G818),AND(D818=5,H818="Pagas no prorrateadas"),1316.49*(F818*G818),AND(D818=7,H818="Pagas prorrateadas"),1493.61*(F818*G818),AND(D818=7,H818="Pagas no prorrateadas"),1280.24*(F818*G818)))</f>
        <v/>
      </c>
      <c r="K818" s="106" t="str">
        <f aca="false">IF(A818="","",IF(J818-I818&gt;=0,"OK",J818-I818))</f>
        <v/>
      </c>
    </row>
    <row r="819" customFormat="false" ht="14.25" hidden="false" customHeight="true" outlineLevel="0" collapsed="false">
      <c r="A819" s="106"/>
      <c r="B819" s="106"/>
      <c r="C819" s="107"/>
      <c r="D819" s="106"/>
      <c r="E819" s="106"/>
      <c r="F819" s="130" t="str">
        <f aca="false">IF(A819="","",MIN(E819/(37.5),1))</f>
        <v/>
      </c>
      <c r="G819" s="108"/>
      <c r="H819" s="106"/>
      <c r="I819" s="107"/>
      <c r="J819" s="131" t="str">
        <f aca="false" t="array" ref="J819:J819">IF(A819="","",ifs(AND(D819=1,H819="Pagas prorrateadas"),2705.41*(F819*G819),AND(D819=1,H819="Pagas no prorrateadas"),2318.93*(F819*G819),AND(D819=2,H819="Pagas prorrateadas"),2246.07*(F819*G819),AND(D819=2,H819="Pagas no prorrateadas"),1925.21*(F819*G819),AND(D819=3,H819="Pagas prorrateadas"),1775.44*(F819*G819),AND(D819=3,H819="Pagas no prorrateadas"),1521.81*(F819*G819),AND(D819=5,H819="Pagas prorrateadas"),1535.9*(F819*G819),AND(D819=5,H819="Pagas no prorrateadas"),1316.49*(F819*G819),AND(D819=7,H819="Pagas prorrateadas"),1493.61*(F819*G819),AND(D819=7,H819="Pagas no prorrateadas"),1280.24*(F819*G819)))</f>
        <v/>
      </c>
      <c r="K819" s="106" t="str">
        <f aca="false">IF(A819="","",IF(J819-I819&gt;=0,"OK",J819-I819))</f>
        <v/>
      </c>
    </row>
    <row r="820" customFormat="false" ht="14.25" hidden="false" customHeight="true" outlineLevel="0" collapsed="false">
      <c r="A820" s="106"/>
      <c r="B820" s="106"/>
      <c r="C820" s="107"/>
      <c r="D820" s="106"/>
      <c r="E820" s="106"/>
      <c r="F820" s="130" t="str">
        <f aca="false">IF(A820="","",MIN(E820/(37.5),1))</f>
        <v/>
      </c>
      <c r="G820" s="108"/>
      <c r="H820" s="106"/>
      <c r="I820" s="107"/>
      <c r="J820" s="131" t="str">
        <f aca="false" t="array" ref="J820:J820">IF(A820="","",ifs(AND(D820=1,H820="Pagas prorrateadas"),2705.41*(F820*G820),AND(D820=1,H820="Pagas no prorrateadas"),2318.93*(F820*G820),AND(D820=2,H820="Pagas prorrateadas"),2246.07*(F820*G820),AND(D820=2,H820="Pagas no prorrateadas"),1925.21*(F820*G820),AND(D820=3,H820="Pagas prorrateadas"),1775.44*(F820*G820),AND(D820=3,H820="Pagas no prorrateadas"),1521.81*(F820*G820),AND(D820=5,H820="Pagas prorrateadas"),1535.9*(F820*G820),AND(D820=5,H820="Pagas no prorrateadas"),1316.49*(F820*G820),AND(D820=7,H820="Pagas prorrateadas"),1493.61*(F820*G820),AND(D820=7,H820="Pagas no prorrateadas"),1280.24*(F820*G820)))</f>
        <v/>
      </c>
      <c r="K820" s="106" t="str">
        <f aca="false">IF(A820="","",IF(J820-I820&gt;=0,"OK",J820-I820))</f>
        <v/>
      </c>
    </row>
    <row r="821" customFormat="false" ht="14.25" hidden="false" customHeight="true" outlineLevel="0" collapsed="false">
      <c r="A821" s="106"/>
      <c r="B821" s="106"/>
      <c r="C821" s="107"/>
      <c r="D821" s="106"/>
      <c r="E821" s="106"/>
      <c r="F821" s="130" t="str">
        <f aca="false">IF(A821="","",MIN(E821/(37.5),1))</f>
        <v/>
      </c>
      <c r="G821" s="108"/>
      <c r="H821" s="106"/>
      <c r="I821" s="107"/>
      <c r="J821" s="131" t="str">
        <f aca="false" t="array" ref="J821:J821">IF(A821="","",ifs(AND(D821=1,H821="Pagas prorrateadas"),2705.41*(F821*G821),AND(D821=1,H821="Pagas no prorrateadas"),2318.93*(F821*G821),AND(D821=2,H821="Pagas prorrateadas"),2246.07*(F821*G821),AND(D821=2,H821="Pagas no prorrateadas"),1925.21*(F821*G821),AND(D821=3,H821="Pagas prorrateadas"),1775.44*(F821*G821),AND(D821=3,H821="Pagas no prorrateadas"),1521.81*(F821*G821),AND(D821=5,H821="Pagas prorrateadas"),1535.9*(F821*G821),AND(D821=5,H821="Pagas no prorrateadas"),1316.49*(F821*G821),AND(D821=7,H821="Pagas prorrateadas"),1493.61*(F821*G821),AND(D821=7,H821="Pagas no prorrateadas"),1280.24*(F821*G821)))</f>
        <v/>
      </c>
      <c r="K821" s="106" t="str">
        <f aca="false">IF(A821="","",IF(J821-I821&gt;=0,"OK",J821-I821))</f>
        <v/>
      </c>
    </row>
    <row r="822" customFormat="false" ht="14.25" hidden="false" customHeight="true" outlineLevel="0" collapsed="false">
      <c r="A822" s="106"/>
      <c r="B822" s="106"/>
      <c r="C822" s="107"/>
      <c r="D822" s="106"/>
      <c r="E822" s="106"/>
      <c r="F822" s="130" t="str">
        <f aca="false">IF(A822="","",MIN(E822/(37.5),1))</f>
        <v/>
      </c>
      <c r="G822" s="108"/>
      <c r="H822" s="106"/>
      <c r="I822" s="107"/>
      <c r="J822" s="131" t="str">
        <f aca="false" t="array" ref="J822:J822">IF(A822="","",ifs(AND(D822=1,H822="Pagas prorrateadas"),2705.41*(F822*G822),AND(D822=1,H822="Pagas no prorrateadas"),2318.93*(F822*G822),AND(D822=2,H822="Pagas prorrateadas"),2246.07*(F822*G822),AND(D822=2,H822="Pagas no prorrateadas"),1925.21*(F822*G822),AND(D822=3,H822="Pagas prorrateadas"),1775.44*(F822*G822),AND(D822=3,H822="Pagas no prorrateadas"),1521.81*(F822*G822),AND(D822=5,H822="Pagas prorrateadas"),1535.9*(F822*G822),AND(D822=5,H822="Pagas no prorrateadas"),1316.49*(F822*G822),AND(D822=7,H822="Pagas prorrateadas"),1493.61*(F822*G822),AND(D822=7,H822="Pagas no prorrateadas"),1280.24*(F822*G822)))</f>
        <v/>
      </c>
      <c r="K822" s="106" t="str">
        <f aca="false">IF(A822="","",IF(J822-I822&gt;=0,"OK",J822-I822))</f>
        <v/>
      </c>
    </row>
    <row r="823" customFormat="false" ht="14.25" hidden="false" customHeight="true" outlineLevel="0" collapsed="false">
      <c r="A823" s="106"/>
      <c r="B823" s="106"/>
      <c r="C823" s="107"/>
      <c r="D823" s="106"/>
      <c r="E823" s="106"/>
      <c r="F823" s="130" t="str">
        <f aca="false">IF(A823="","",MIN(E823/(37.5),1))</f>
        <v/>
      </c>
      <c r="G823" s="108"/>
      <c r="H823" s="106"/>
      <c r="I823" s="107"/>
      <c r="J823" s="131" t="str">
        <f aca="false" t="array" ref="J823:J823">IF(A823="","",ifs(AND(D823=1,H823="Pagas prorrateadas"),2705.41*(F823*G823),AND(D823=1,H823="Pagas no prorrateadas"),2318.93*(F823*G823),AND(D823=2,H823="Pagas prorrateadas"),2246.07*(F823*G823),AND(D823=2,H823="Pagas no prorrateadas"),1925.21*(F823*G823),AND(D823=3,H823="Pagas prorrateadas"),1775.44*(F823*G823),AND(D823=3,H823="Pagas no prorrateadas"),1521.81*(F823*G823),AND(D823=5,H823="Pagas prorrateadas"),1535.9*(F823*G823),AND(D823=5,H823="Pagas no prorrateadas"),1316.49*(F823*G823),AND(D823=7,H823="Pagas prorrateadas"),1493.61*(F823*G823),AND(D823=7,H823="Pagas no prorrateadas"),1280.24*(F823*G823)))</f>
        <v/>
      </c>
      <c r="K823" s="106" t="str">
        <f aca="false">IF(A823="","",IF(J823-I823&gt;=0,"OK",J823-I823))</f>
        <v/>
      </c>
    </row>
    <row r="824" customFormat="false" ht="14.25" hidden="false" customHeight="true" outlineLevel="0" collapsed="false">
      <c r="A824" s="106"/>
      <c r="B824" s="106"/>
      <c r="C824" s="107"/>
      <c r="D824" s="106"/>
      <c r="E824" s="106"/>
      <c r="F824" s="130" t="str">
        <f aca="false">IF(A824="","",MIN(E824/(37.5),1))</f>
        <v/>
      </c>
      <c r="G824" s="108"/>
      <c r="H824" s="106"/>
      <c r="I824" s="107"/>
      <c r="J824" s="131" t="str">
        <f aca="false" t="array" ref="J824:J824">IF(A824="","",ifs(AND(D824=1,H824="Pagas prorrateadas"),2705.41*(F824*G824),AND(D824=1,H824="Pagas no prorrateadas"),2318.93*(F824*G824),AND(D824=2,H824="Pagas prorrateadas"),2246.07*(F824*G824),AND(D824=2,H824="Pagas no prorrateadas"),1925.21*(F824*G824),AND(D824=3,H824="Pagas prorrateadas"),1775.44*(F824*G824),AND(D824=3,H824="Pagas no prorrateadas"),1521.81*(F824*G824),AND(D824=5,H824="Pagas prorrateadas"),1535.9*(F824*G824),AND(D824=5,H824="Pagas no prorrateadas"),1316.49*(F824*G824),AND(D824=7,H824="Pagas prorrateadas"),1493.61*(F824*G824),AND(D824=7,H824="Pagas no prorrateadas"),1280.24*(F824*G824)))</f>
        <v/>
      </c>
      <c r="K824" s="106" t="str">
        <f aca="false">IF(A824="","",IF(J824-I824&gt;=0,"OK",J824-I824))</f>
        <v/>
      </c>
    </row>
    <row r="825" customFormat="false" ht="14.25" hidden="false" customHeight="true" outlineLevel="0" collapsed="false">
      <c r="A825" s="106"/>
      <c r="B825" s="106"/>
      <c r="C825" s="107"/>
      <c r="D825" s="106"/>
      <c r="E825" s="106"/>
      <c r="F825" s="130" t="str">
        <f aca="false">IF(A825="","",MIN(E825/(37.5),1))</f>
        <v/>
      </c>
      <c r="G825" s="108"/>
      <c r="H825" s="106"/>
      <c r="I825" s="107"/>
      <c r="J825" s="131" t="str">
        <f aca="false" t="array" ref="J825:J825">IF(A825="","",ifs(AND(D825=1,H825="Pagas prorrateadas"),2705.41*(F825*G825),AND(D825=1,H825="Pagas no prorrateadas"),2318.93*(F825*G825),AND(D825=2,H825="Pagas prorrateadas"),2246.07*(F825*G825),AND(D825=2,H825="Pagas no prorrateadas"),1925.21*(F825*G825),AND(D825=3,H825="Pagas prorrateadas"),1775.44*(F825*G825),AND(D825=3,H825="Pagas no prorrateadas"),1521.81*(F825*G825),AND(D825=5,H825="Pagas prorrateadas"),1535.9*(F825*G825),AND(D825=5,H825="Pagas no prorrateadas"),1316.49*(F825*G825),AND(D825=7,H825="Pagas prorrateadas"),1493.61*(F825*G825),AND(D825=7,H825="Pagas no prorrateadas"),1280.24*(F825*G825)))</f>
        <v/>
      </c>
      <c r="K825" s="106" t="str">
        <f aca="false">IF(A825="","",IF(J825-I825&gt;=0,"OK",J825-I825))</f>
        <v/>
      </c>
    </row>
    <row r="826" customFormat="false" ht="14.25" hidden="false" customHeight="true" outlineLevel="0" collapsed="false">
      <c r="A826" s="106"/>
      <c r="B826" s="106"/>
      <c r="C826" s="107"/>
      <c r="D826" s="106"/>
      <c r="E826" s="106"/>
      <c r="F826" s="130" t="str">
        <f aca="false">IF(A826="","",MIN(E826/(37.5),1))</f>
        <v/>
      </c>
      <c r="G826" s="108"/>
      <c r="H826" s="106"/>
      <c r="I826" s="107"/>
      <c r="J826" s="131" t="str">
        <f aca="false" t="array" ref="J826:J826">IF(A826="","",ifs(AND(D826=1,H826="Pagas prorrateadas"),2705.41*(F826*G826),AND(D826=1,H826="Pagas no prorrateadas"),2318.93*(F826*G826),AND(D826=2,H826="Pagas prorrateadas"),2246.07*(F826*G826),AND(D826=2,H826="Pagas no prorrateadas"),1925.21*(F826*G826),AND(D826=3,H826="Pagas prorrateadas"),1775.44*(F826*G826),AND(D826=3,H826="Pagas no prorrateadas"),1521.81*(F826*G826),AND(D826=5,H826="Pagas prorrateadas"),1535.9*(F826*G826),AND(D826=5,H826="Pagas no prorrateadas"),1316.49*(F826*G826),AND(D826=7,H826="Pagas prorrateadas"),1493.61*(F826*G826),AND(D826=7,H826="Pagas no prorrateadas"),1280.24*(F826*G826)))</f>
        <v/>
      </c>
      <c r="K826" s="106" t="str">
        <f aca="false">IF(A826="","",IF(J826-I826&gt;=0,"OK",J826-I826))</f>
        <v/>
      </c>
    </row>
    <row r="827" customFormat="false" ht="14.25" hidden="false" customHeight="true" outlineLevel="0" collapsed="false">
      <c r="A827" s="106"/>
      <c r="B827" s="106"/>
      <c r="C827" s="107"/>
      <c r="D827" s="106"/>
      <c r="E827" s="106"/>
      <c r="F827" s="130" t="str">
        <f aca="false">IF(A827="","",MIN(E827/(37.5),1))</f>
        <v/>
      </c>
      <c r="G827" s="108"/>
      <c r="H827" s="106"/>
      <c r="I827" s="107"/>
      <c r="J827" s="131" t="str">
        <f aca="false" t="array" ref="J827:J827">IF(A827="","",ifs(AND(D827=1,H827="Pagas prorrateadas"),2705.41*(F827*G827),AND(D827=1,H827="Pagas no prorrateadas"),2318.93*(F827*G827),AND(D827=2,H827="Pagas prorrateadas"),2246.07*(F827*G827),AND(D827=2,H827="Pagas no prorrateadas"),1925.21*(F827*G827),AND(D827=3,H827="Pagas prorrateadas"),1775.44*(F827*G827),AND(D827=3,H827="Pagas no prorrateadas"),1521.81*(F827*G827),AND(D827=5,H827="Pagas prorrateadas"),1535.9*(F827*G827),AND(D827=5,H827="Pagas no prorrateadas"),1316.49*(F827*G827),AND(D827=7,H827="Pagas prorrateadas"),1493.61*(F827*G827),AND(D827=7,H827="Pagas no prorrateadas"),1280.24*(F827*G827)))</f>
        <v/>
      </c>
      <c r="K827" s="106" t="str">
        <f aca="false">IF(A827="","",IF(J827-I827&gt;=0,"OK",J827-I827))</f>
        <v/>
      </c>
    </row>
    <row r="828" customFormat="false" ht="14.25" hidden="false" customHeight="true" outlineLevel="0" collapsed="false">
      <c r="A828" s="106"/>
      <c r="B828" s="106"/>
      <c r="C828" s="107"/>
      <c r="D828" s="106"/>
      <c r="E828" s="106"/>
      <c r="F828" s="130" t="str">
        <f aca="false">IF(A828="","",MIN(E828/(37.5),1))</f>
        <v/>
      </c>
      <c r="G828" s="108"/>
      <c r="H828" s="106"/>
      <c r="I828" s="107"/>
      <c r="J828" s="131" t="str">
        <f aca="false" t="array" ref="J828:J828">IF(A828="","",ifs(AND(D828=1,H828="Pagas prorrateadas"),2705.41*(F828*G828),AND(D828=1,H828="Pagas no prorrateadas"),2318.93*(F828*G828),AND(D828=2,H828="Pagas prorrateadas"),2246.07*(F828*G828),AND(D828=2,H828="Pagas no prorrateadas"),1925.21*(F828*G828),AND(D828=3,H828="Pagas prorrateadas"),1775.44*(F828*G828),AND(D828=3,H828="Pagas no prorrateadas"),1521.81*(F828*G828),AND(D828=5,H828="Pagas prorrateadas"),1535.9*(F828*G828),AND(D828=5,H828="Pagas no prorrateadas"),1316.49*(F828*G828),AND(D828=7,H828="Pagas prorrateadas"),1493.61*(F828*G828),AND(D828=7,H828="Pagas no prorrateadas"),1280.24*(F828*G828)))</f>
        <v/>
      </c>
      <c r="K828" s="106" t="str">
        <f aca="false">IF(A828="","",IF(J828-I828&gt;=0,"OK",J828-I828))</f>
        <v/>
      </c>
    </row>
    <row r="829" customFormat="false" ht="14.25" hidden="false" customHeight="true" outlineLevel="0" collapsed="false">
      <c r="A829" s="106"/>
      <c r="B829" s="106"/>
      <c r="C829" s="107"/>
      <c r="D829" s="106"/>
      <c r="E829" s="106"/>
      <c r="F829" s="130" t="str">
        <f aca="false">IF(A829="","",MIN(E829/(37.5),1))</f>
        <v/>
      </c>
      <c r="G829" s="108"/>
      <c r="H829" s="106"/>
      <c r="I829" s="107"/>
      <c r="J829" s="131" t="str">
        <f aca="false" t="array" ref="J829:J829">IF(A829="","",ifs(AND(D829=1,H829="Pagas prorrateadas"),2705.41*(F829*G829),AND(D829=1,H829="Pagas no prorrateadas"),2318.93*(F829*G829),AND(D829=2,H829="Pagas prorrateadas"),2246.07*(F829*G829),AND(D829=2,H829="Pagas no prorrateadas"),1925.21*(F829*G829),AND(D829=3,H829="Pagas prorrateadas"),1775.44*(F829*G829),AND(D829=3,H829="Pagas no prorrateadas"),1521.81*(F829*G829),AND(D829=5,H829="Pagas prorrateadas"),1535.9*(F829*G829),AND(D829=5,H829="Pagas no prorrateadas"),1316.49*(F829*G829),AND(D829=7,H829="Pagas prorrateadas"),1493.61*(F829*G829),AND(D829=7,H829="Pagas no prorrateadas"),1280.24*(F829*G829)))</f>
        <v/>
      </c>
      <c r="K829" s="106" t="str">
        <f aca="false">IF(A829="","",IF(J829-I829&gt;=0,"OK",J829-I829))</f>
        <v/>
      </c>
    </row>
    <row r="830" customFormat="false" ht="14.25" hidden="false" customHeight="true" outlineLevel="0" collapsed="false">
      <c r="A830" s="106"/>
      <c r="B830" s="106"/>
      <c r="C830" s="107"/>
      <c r="D830" s="106"/>
      <c r="E830" s="106"/>
      <c r="F830" s="130" t="str">
        <f aca="false">IF(A830="","",MIN(E830/(37.5),1))</f>
        <v/>
      </c>
      <c r="G830" s="108"/>
      <c r="H830" s="106"/>
      <c r="I830" s="107"/>
      <c r="J830" s="131" t="str">
        <f aca="false" t="array" ref="J830:J830">IF(A830="","",ifs(AND(D830=1,H830="Pagas prorrateadas"),2705.41*(F830*G830),AND(D830=1,H830="Pagas no prorrateadas"),2318.93*(F830*G830),AND(D830=2,H830="Pagas prorrateadas"),2246.07*(F830*G830),AND(D830=2,H830="Pagas no prorrateadas"),1925.21*(F830*G830),AND(D830=3,H830="Pagas prorrateadas"),1775.44*(F830*G830),AND(D830=3,H830="Pagas no prorrateadas"),1521.81*(F830*G830),AND(D830=5,H830="Pagas prorrateadas"),1535.9*(F830*G830),AND(D830=5,H830="Pagas no prorrateadas"),1316.49*(F830*G830),AND(D830=7,H830="Pagas prorrateadas"),1493.61*(F830*G830),AND(D830=7,H830="Pagas no prorrateadas"),1280.24*(F830*G830)))</f>
        <v/>
      </c>
      <c r="K830" s="106" t="str">
        <f aca="false">IF(A830="","",IF(J830-I830&gt;=0,"OK",J830-I830))</f>
        <v/>
      </c>
    </row>
    <row r="831" customFormat="false" ht="14.25" hidden="false" customHeight="true" outlineLevel="0" collapsed="false">
      <c r="A831" s="106"/>
      <c r="B831" s="106"/>
      <c r="C831" s="107"/>
      <c r="D831" s="106"/>
      <c r="E831" s="106"/>
      <c r="F831" s="130" t="str">
        <f aca="false">IF(A831="","",MIN(E831/(37.5),1))</f>
        <v/>
      </c>
      <c r="G831" s="108"/>
      <c r="H831" s="106"/>
      <c r="I831" s="107"/>
      <c r="J831" s="131" t="str">
        <f aca="false" t="array" ref="J831:J831">IF(A831="","",ifs(AND(D831=1,H831="Pagas prorrateadas"),2705.41*(F831*G831),AND(D831=1,H831="Pagas no prorrateadas"),2318.93*(F831*G831),AND(D831=2,H831="Pagas prorrateadas"),2246.07*(F831*G831),AND(D831=2,H831="Pagas no prorrateadas"),1925.21*(F831*G831),AND(D831=3,H831="Pagas prorrateadas"),1775.44*(F831*G831),AND(D831=3,H831="Pagas no prorrateadas"),1521.81*(F831*G831),AND(D831=5,H831="Pagas prorrateadas"),1535.9*(F831*G831),AND(D831=5,H831="Pagas no prorrateadas"),1316.49*(F831*G831),AND(D831=7,H831="Pagas prorrateadas"),1493.61*(F831*G831),AND(D831=7,H831="Pagas no prorrateadas"),1280.24*(F831*G831)))</f>
        <v/>
      </c>
      <c r="K831" s="106" t="str">
        <f aca="false">IF(A831="","",IF(J831-I831&gt;=0,"OK",J831-I831))</f>
        <v/>
      </c>
    </row>
    <row r="832" customFormat="false" ht="14.25" hidden="false" customHeight="true" outlineLevel="0" collapsed="false">
      <c r="A832" s="106"/>
      <c r="B832" s="106"/>
      <c r="C832" s="107"/>
      <c r="D832" s="106"/>
      <c r="E832" s="106"/>
      <c r="F832" s="130" t="str">
        <f aca="false">IF(A832="","",MIN(E832/(37.5),1))</f>
        <v/>
      </c>
      <c r="G832" s="108"/>
      <c r="H832" s="106"/>
      <c r="I832" s="107"/>
      <c r="J832" s="131" t="str">
        <f aca="false" t="array" ref="J832:J832">IF(A832="","",ifs(AND(D832=1,H832="Pagas prorrateadas"),2705.41*(F832*G832),AND(D832=1,H832="Pagas no prorrateadas"),2318.93*(F832*G832),AND(D832=2,H832="Pagas prorrateadas"),2246.07*(F832*G832),AND(D832=2,H832="Pagas no prorrateadas"),1925.21*(F832*G832),AND(D832=3,H832="Pagas prorrateadas"),1775.44*(F832*G832),AND(D832=3,H832="Pagas no prorrateadas"),1521.81*(F832*G832),AND(D832=5,H832="Pagas prorrateadas"),1535.9*(F832*G832),AND(D832=5,H832="Pagas no prorrateadas"),1316.49*(F832*G832),AND(D832=7,H832="Pagas prorrateadas"),1493.61*(F832*G832),AND(D832=7,H832="Pagas no prorrateadas"),1280.24*(F832*G832)))</f>
        <v/>
      </c>
      <c r="K832" s="106" t="str">
        <f aca="false">IF(A832="","",IF(J832-I832&gt;=0,"OK",J832-I832))</f>
        <v/>
      </c>
    </row>
    <row r="833" customFormat="false" ht="14.25" hidden="false" customHeight="true" outlineLevel="0" collapsed="false">
      <c r="A833" s="106"/>
      <c r="B833" s="106"/>
      <c r="C833" s="107"/>
      <c r="D833" s="106"/>
      <c r="E833" s="106"/>
      <c r="F833" s="130" t="str">
        <f aca="false">IF(A833="","",MIN(E833/(37.5),1))</f>
        <v/>
      </c>
      <c r="G833" s="108"/>
      <c r="H833" s="106"/>
      <c r="I833" s="107"/>
      <c r="J833" s="131" t="str">
        <f aca="false" t="array" ref="J833:J833">IF(A833="","",ifs(AND(D833=1,H833="Pagas prorrateadas"),2705.41*(F833*G833),AND(D833=1,H833="Pagas no prorrateadas"),2318.93*(F833*G833),AND(D833=2,H833="Pagas prorrateadas"),2246.07*(F833*G833),AND(D833=2,H833="Pagas no prorrateadas"),1925.21*(F833*G833),AND(D833=3,H833="Pagas prorrateadas"),1775.44*(F833*G833),AND(D833=3,H833="Pagas no prorrateadas"),1521.81*(F833*G833),AND(D833=5,H833="Pagas prorrateadas"),1535.9*(F833*G833),AND(D833=5,H833="Pagas no prorrateadas"),1316.49*(F833*G833),AND(D833=7,H833="Pagas prorrateadas"),1493.61*(F833*G833),AND(D833=7,H833="Pagas no prorrateadas"),1280.24*(F833*G833)))</f>
        <v/>
      </c>
      <c r="K833" s="106" t="str">
        <f aca="false">IF(A833="","",IF(J833-I833&gt;=0,"OK",J833-I833))</f>
        <v/>
      </c>
    </row>
    <row r="834" customFormat="false" ht="14.25" hidden="false" customHeight="true" outlineLevel="0" collapsed="false">
      <c r="A834" s="106"/>
      <c r="B834" s="106"/>
      <c r="C834" s="107"/>
      <c r="D834" s="106"/>
      <c r="E834" s="106"/>
      <c r="F834" s="130" t="str">
        <f aca="false">IF(A834="","",MIN(E834/(37.5),1))</f>
        <v/>
      </c>
      <c r="G834" s="108"/>
      <c r="H834" s="106"/>
      <c r="I834" s="107"/>
      <c r="J834" s="131" t="str">
        <f aca="false" t="array" ref="J834:J834">IF(A834="","",ifs(AND(D834=1,H834="Pagas prorrateadas"),2705.41*(F834*G834),AND(D834=1,H834="Pagas no prorrateadas"),2318.93*(F834*G834),AND(D834=2,H834="Pagas prorrateadas"),2246.07*(F834*G834),AND(D834=2,H834="Pagas no prorrateadas"),1925.21*(F834*G834),AND(D834=3,H834="Pagas prorrateadas"),1775.44*(F834*G834),AND(D834=3,H834="Pagas no prorrateadas"),1521.81*(F834*G834),AND(D834=5,H834="Pagas prorrateadas"),1535.9*(F834*G834),AND(D834=5,H834="Pagas no prorrateadas"),1316.49*(F834*G834),AND(D834=7,H834="Pagas prorrateadas"),1493.61*(F834*G834),AND(D834=7,H834="Pagas no prorrateadas"),1280.24*(F834*G834)))</f>
        <v/>
      </c>
      <c r="K834" s="106" t="str">
        <f aca="false">IF(A834="","",IF(J834-I834&gt;=0,"OK",J834-I834))</f>
        <v/>
      </c>
    </row>
    <row r="835" customFormat="false" ht="14.25" hidden="false" customHeight="true" outlineLevel="0" collapsed="false">
      <c r="A835" s="106"/>
      <c r="B835" s="106"/>
      <c r="C835" s="107"/>
      <c r="D835" s="106"/>
      <c r="E835" s="106"/>
      <c r="F835" s="130" t="str">
        <f aca="false">IF(A835="","",MIN(E835/(37.5),1))</f>
        <v/>
      </c>
      <c r="G835" s="108"/>
      <c r="H835" s="106"/>
      <c r="I835" s="107"/>
      <c r="J835" s="131" t="str">
        <f aca="false" t="array" ref="J835:J835">IF(A835="","",ifs(AND(D835=1,H835="Pagas prorrateadas"),2705.41*(F835*G835),AND(D835=1,H835="Pagas no prorrateadas"),2318.93*(F835*G835),AND(D835=2,H835="Pagas prorrateadas"),2246.07*(F835*G835),AND(D835=2,H835="Pagas no prorrateadas"),1925.21*(F835*G835),AND(D835=3,H835="Pagas prorrateadas"),1775.44*(F835*G835),AND(D835=3,H835="Pagas no prorrateadas"),1521.81*(F835*G835),AND(D835=5,H835="Pagas prorrateadas"),1535.9*(F835*G835),AND(D835=5,H835="Pagas no prorrateadas"),1316.49*(F835*G835),AND(D835=7,H835="Pagas prorrateadas"),1493.61*(F835*G835),AND(D835=7,H835="Pagas no prorrateadas"),1280.24*(F835*G835)))</f>
        <v/>
      </c>
      <c r="K835" s="106" t="str">
        <f aca="false">IF(A835="","",IF(J835-I835&gt;=0,"OK",J835-I835))</f>
        <v/>
      </c>
    </row>
    <row r="836" customFormat="false" ht="14.25" hidden="false" customHeight="true" outlineLevel="0" collapsed="false">
      <c r="A836" s="106"/>
      <c r="B836" s="106"/>
      <c r="C836" s="107"/>
      <c r="D836" s="106"/>
      <c r="E836" s="106"/>
      <c r="F836" s="130" t="str">
        <f aca="false">IF(A836="","",MIN(E836/(37.5),1))</f>
        <v/>
      </c>
      <c r="G836" s="108"/>
      <c r="H836" s="106"/>
      <c r="I836" s="107"/>
      <c r="J836" s="131" t="str">
        <f aca="false" t="array" ref="J836:J836">IF(A836="","",ifs(AND(D836=1,H836="Pagas prorrateadas"),2705.41*(F836*G836),AND(D836=1,H836="Pagas no prorrateadas"),2318.93*(F836*G836),AND(D836=2,H836="Pagas prorrateadas"),2246.07*(F836*G836),AND(D836=2,H836="Pagas no prorrateadas"),1925.21*(F836*G836),AND(D836=3,H836="Pagas prorrateadas"),1775.44*(F836*G836),AND(D836=3,H836="Pagas no prorrateadas"),1521.81*(F836*G836),AND(D836=5,H836="Pagas prorrateadas"),1535.9*(F836*G836),AND(D836=5,H836="Pagas no prorrateadas"),1316.49*(F836*G836),AND(D836=7,H836="Pagas prorrateadas"),1493.61*(F836*G836),AND(D836=7,H836="Pagas no prorrateadas"),1280.24*(F836*G836)))</f>
        <v/>
      </c>
      <c r="K836" s="106" t="str">
        <f aca="false">IF(A836="","",IF(J836-I836&gt;=0,"OK",J836-I836))</f>
        <v/>
      </c>
    </row>
    <row r="837" customFormat="false" ht="14.25" hidden="false" customHeight="true" outlineLevel="0" collapsed="false">
      <c r="A837" s="106"/>
      <c r="B837" s="106"/>
      <c r="C837" s="107"/>
      <c r="D837" s="106"/>
      <c r="E837" s="106"/>
      <c r="F837" s="130" t="str">
        <f aca="false">IF(A837="","",MIN(E837/(37.5),1))</f>
        <v/>
      </c>
      <c r="G837" s="108"/>
      <c r="H837" s="106"/>
      <c r="I837" s="107"/>
      <c r="J837" s="131" t="str">
        <f aca="false" t="array" ref="J837:J837">IF(A837="","",ifs(AND(D837=1,H837="Pagas prorrateadas"),2705.41*(F837*G837),AND(D837=1,H837="Pagas no prorrateadas"),2318.93*(F837*G837),AND(D837=2,H837="Pagas prorrateadas"),2246.07*(F837*G837),AND(D837=2,H837="Pagas no prorrateadas"),1925.21*(F837*G837),AND(D837=3,H837="Pagas prorrateadas"),1775.44*(F837*G837),AND(D837=3,H837="Pagas no prorrateadas"),1521.81*(F837*G837),AND(D837=5,H837="Pagas prorrateadas"),1535.9*(F837*G837),AND(D837=5,H837="Pagas no prorrateadas"),1316.49*(F837*G837),AND(D837=7,H837="Pagas prorrateadas"),1493.61*(F837*G837),AND(D837=7,H837="Pagas no prorrateadas"),1280.24*(F837*G837)))</f>
        <v/>
      </c>
      <c r="K837" s="106" t="str">
        <f aca="false">IF(A837="","",IF(J837-I837&gt;=0,"OK",J837-I837))</f>
        <v/>
      </c>
    </row>
    <row r="838" customFormat="false" ht="14.25" hidden="false" customHeight="true" outlineLevel="0" collapsed="false">
      <c r="A838" s="106"/>
      <c r="B838" s="106"/>
      <c r="C838" s="107"/>
      <c r="D838" s="106"/>
      <c r="E838" s="106"/>
      <c r="F838" s="130" t="str">
        <f aca="false">IF(A838="","",MIN(E838/(37.5),1))</f>
        <v/>
      </c>
      <c r="G838" s="108"/>
      <c r="H838" s="106"/>
      <c r="I838" s="107"/>
      <c r="J838" s="131" t="str">
        <f aca="false" t="array" ref="J838:J838">IF(A838="","",ifs(AND(D838=1,H838="Pagas prorrateadas"),2705.41*(F838*G838),AND(D838=1,H838="Pagas no prorrateadas"),2318.93*(F838*G838),AND(D838=2,H838="Pagas prorrateadas"),2246.07*(F838*G838),AND(D838=2,H838="Pagas no prorrateadas"),1925.21*(F838*G838),AND(D838=3,H838="Pagas prorrateadas"),1775.44*(F838*G838),AND(D838=3,H838="Pagas no prorrateadas"),1521.81*(F838*G838),AND(D838=5,H838="Pagas prorrateadas"),1535.9*(F838*G838),AND(D838=5,H838="Pagas no prorrateadas"),1316.49*(F838*G838),AND(D838=7,H838="Pagas prorrateadas"),1493.61*(F838*G838),AND(D838=7,H838="Pagas no prorrateadas"),1280.24*(F838*G838)))</f>
        <v/>
      </c>
      <c r="K838" s="106" t="str">
        <f aca="false">IF(A838="","",IF(J838-I838&gt;=0,"OK",J838-I838))</f>
        <v/>
      </c>
    </row>
    <row r="839" customFormat="false" ht="14.25" hidden="false" customHeight="true" outlineLevel="0" collapsed="false">
      <c r="A839" s="106"/>
      <c r="B839" s="106"/>
      <c r="C839" s="107"/>
      <c r="D839" s="106"/>
      <c r="E839" s="106"/>
      <c r="F839" s="130" t="str">
        <f aca="false">IF(A839="","",MIN(E839/(37.5),1))</f>
        <v/>
      </c>
      <c r="G839" s="108"/>
      <c r="H839" s="106"/>
      <c r="I839" s="107"/>
      <c r="J839" s="131" t="str">
        <f aca="false" t="array" ref="J839:J839">IF(A839="","",ifs(AND(D839=1,H839="Pagas prorrateadas"),2705.41*(F839*G839),AND(D839=1,H839="Pagas no prorrateadas"),2318.93*(F839*G839),AND(D839=2,H839="Pagas prorrateadas"),2246.07*(F839*G839),AND(D839=2,H839="Pagas no prorrateadas"),1925.21*(F839*G839),AND(D839=3,H839="Pagas prorrateadas"),1775.44*(F839*G839),AND(D839=3,H839="Pagas no prorrateadas"),1521.81*(F839*G839),AND(D839=5,H839="Pagas prorrateadas"),1535.9*(F839*G839),AND(D839=5,H839="Pagas no prorrateadas"),1316.49*(F839*G839),AND(D839=7,H839="Pagas prorrateadas"),1493.61*(F839*G839),AND(D839=7,H839="Pagas no prorrateadas"),1280.24*(F839*G839)))</f>
        <v/>
      </c>
      <c r="K839" s="106" t="str">
        <f aca="false">IF(A839="","",IF(J839-I839&gt;=0,"OK",J839-I839))</f>
        <v/>
      </c>
    </row>
    <row r="840" customFormat="false" ht="14.25" hidden="false" customHeight="true" outlineLevel="0" collapsed="false">
      <c r="A840" s="106"/>
      <c r="B840" s="106"/>
      <c r="C840" s="107"/>
      <c r="D840" s="106"/>
      <c r="E840" s="106"/>
      <c r="F840" s="130" t="str">
        <f aca="false">IF(A840="","",MIN(E840/(37.5),1))</f>
        <v/>
      </c>
      <c r="G840" s="108"/>
      <c r="H840" s="106"/>
      <c r="I840" s="107"/>
      <c r="J840" s="131" t="str">
        <f aca="false" t="array" ref="J840:J840">IF(A840="","",ifs(AND(D840=1,H840="Pagas prorrateadas"),2705.41*(F840*G840),AND(D840=1,H840="Pagas no prorrateadas"),2318.93*(F840*G840),AND(D840=2,H840="Pagas prorrateadas"),2246.07*(F840*G840),AND(D840=2,H840="Pagas no prorrateadas"),1925.21*(F840*G840),AND(D840=3,H840="Pagas prorrateadas"),1775.44*(F840*G840),AND(D840=3,H840="Pagas no prorrateadas"),1521.81*(F840*G840),AND(D840=5,H840="Pagas prorrateadas"),1535.9*(F840*G840),AND(D840=5,H840="Pagas no prorrateadas"),1316.49*(F840*G840),AND(D840=7,H840="Pagas prorrateadas"),1493.61*(F840*G840),AND(D840=7,H840="Pagas no prorrateadas"),1280.24*(F840*G840)))</f>
        <v/>
      </c>
      <c r="K840" s="106" t="str">
        <f aca="false">IF(A840="","",IF(J840-I840&gt;=0,"OK",J840-I840))</f>
        <v/>
      </c>
    </row>
    <row r="841" customFormat="false" ht="14.25" hidden="false" customHeight="true" outlineLevel="0" collapsed="false">
      <c r="A841" s="106"/>
      <c r="B841" s="106"/>
      <c r="C841" s="107"/>
      <c r="D841" s="106"/>
      <c r="E841" s="106"/>
      <c r="F841" s="130" t="str">
        <f aca="false">IF(A841="","",MIN(E841/(37.5),1))</f>
        <v/>
      </c>
      <c r="G841" s="108"/>
      <c r="H841" s="106"/>
      <c r="I841" s="107"/>
      <c r="J841" s="131" t="str">
        <f aca="false" t="array" ref="J841:J841">IF(A841="","",ifs(AND(D841=1,H841="Pagas prorrateadas"),2705.41*(F841*G841),AND(D841=1,H841="Pagas no prorrateadas"),2318.93*(F841*G841),AND(D841=2,H841="Pagas prorrateadas"),2246.07*(F841*G841),AND(D841=2,H841="Pagas no prorrateadas"),1925.21*(F841*G841),AND(D841=3,H841="Pagas prorrateadas"),1775.44*(F841*G841),AND(D841=3,H841="Pagas no prorrateadas"),1521.81*(F841*G841),AND(D841=5,H841="Pagas prorrateadas"),1535.9*(F841*G841),AND(D841=5,H841="Pagas no prorrateadas"),1316.49*(F841*G841),AND(D841=7,H841="Pagas prorrateadas"),1493.61*(F841*G841),AND(D841=7,H841="Pagas no prorrateadas"),1280.24*(F841*G841)))</f>
        <v/>
      </c>
      <c r="K841" s="106" t="str">
        <f aca="false">IF(A841="","",IF(J841-I841&gt;=0,"OK",J841-I841))</f>
        <v/>
      </c>
    </row>
    <row r="842" customFormat="false" ht="14.25" hidden="false" customHeight="true" outlineLevel="0" collapsed="false">
      <c r="A842" s="106"/>
      <c r="B842" s="106"/>
      <c r="C842" s="107"/>
      <c r="D842" s="106"/>
      <c r="E842" s="106"/>
      <c r="F842" s="130" t="str">
        <f aca="false">IF(A842="","",MIN(E842/(37.5),1))</f>
        <v/>
      </c>
      <c r="G842" s="108"/>
      <c r="H842" s="106"/>
      <c r="I842" s="107"/>
      <c r="J842" s="131" t="str">
        <f aca="false" t="array" ref="J842:J842">IF(A842="","",ifs(AND(D842=1,H842="Pagas prorrateadas"),2705.41*(F842*G842),AND(D842=1,H842="Pagas no prorrateadas"),2318.93*(F842*G842),AND(D842=2,H842="Pagas prorrateadas"),2246.07*(F842*G842),AND(D842=2,H842="Pagas no prorrateadas"),1925.21*(F842*G842),AND(D842=3,H842="Pagas prorrateadas"),1775.44*(F842*G842),AND(D842=3,H842="Pagas no prorrateadas"),1521.81*(F842*G842),AND(D842=5,H842="Pagas prorrateadas"),1535.9*(F842*G842),AND(D842=5,H842="Pagas no prorrateadas"),1316.49*(F842*G842),AND(D842=7,H842="Pagas prorrateadas"),1493.61*(F842*G842),AND(D842=7,H842="Pagas no prorrateadas"),1280.24*(F842*G842)))</f>
        <v/>
      </c>
      <c r="K842" s="106" t="str">
        <f aca="false">IF(A842="","",IF(J842-I842&gt;=0,"OK",J842-I842))</f>
        <v/>
      </c>
    </row>
    <row r="843" customFormat="false" ht="14.25" hidden="false" customHeight="true" outlineLevel="0" collapsed="false">
      <c r="A843" s="106"/>
      <c r="B843" s="106"/>
      <c r="C843" s="107"/>
      <c r="D843" s="106"/>
      <c r="E843" s="106"/>
      <c r="F843" s="130" t="str">
        <f aca="false">IF(A843="","",MIN(E843/(37.5),1))</f>
        <v/>
      </c>
      <c r="G843" s="108"/>
      <c r="H843" s="106"/>
      <c r="I843" s="107"/>
      <c r="J843" s="131" t="str">
        <f aca="false" t="array" ref="J843:J843">IF(A843="","",ifs(AND(D843=1,H843="Pagas prorrateadas"),2705.41*(F843*G843),AND(D843=1,H843="Pagas no prorrateadas"),2318.93*(F843*G843),AND(D843=2,H843="Pagas prorrateadas"),2246.07*(F843*G843),AND(D843=2,H843="Pagas no prorrateadas"),1925.21*(F843*G843),AND(D843=3,H843="Pagas prorrateadas"),1775.44*(F843*G843),AND(D843=3,H843="Pagas no prorrateadas"),1521.81*(F843*G843),AND(D843=5,H843="Pagas prorrateadas"),1535.9*(F843*G843),AND(D843=5,H843="Pagas no prorrateadas"),1316.49*(F843*G843),AND(D843=7,H843="Pagas prorrateadas"),1493.61*(F843*G843),AND(D843=7,H843="Pagas no prorrateadas"),1280.24*(F843*G843)))</f>
        <v/>
      </c>
      <c r="K843" s="106" t="str">
        <f aca="false">IF(A843="","",IF(J843-I843&gt;=0,"OK",J843-I843))</f>
        <v/>
      </c>
    </row>
    <row r="844" customFormat="false" ht="14.25" hidden="false" customHeight="true" outlineLevel="0" collapsed="false">
      <c r="A844" s="106"/>
      <c r="B844" s="106"/>
      <c r="C844" s="107"/>
      <c r="D844" s="106"/>
      <c r="E844" s="106"/>
      <c r="F844" s="130" t="str">
        <f aca="false">IF(A844="","",MIN(E844/(37.5),1))</f>
        <v/>
      </c>
      <c r="G844" s="108"/>
      <c r="H844" s="106"/>
      <c r="I844" s="107"/>
      <c r="J844" s="131" t="str">
        <f aca="false" t="array" ref="J844:J844">IF(A844="","",ifs(AND(D844=1,H844="Pagas prorrateadas"),2705.41*(F844*G844),AND(D844=1,H844="Pagas no prorrateadas"),2318.93*(F844*G844),AND(D844=2,H844="Pagas prorrateadas"),2246.07*(F844*G844),AND(D844=2,H844="Pagas no prorrateadas"),1925.21*(F844*G844),AND(D844=3,H844="Pagas prorrateadas"),1775.44*(F844*G844),AND(D844=3,H844="Pagas no prorrateadas"),1521.81*(F844*G844),AND(D844=5,H844="Pagas prorrateadas"),1535.9*(F844*G844),AND(D844=5,H844="Pagas no prorrateadas"),1316.49*(F844*G844),AND(D844=7,H844="Pagas prorrateadas"),1493.61*(F844*G844),AND(D844=7,H844="Pagas no prorrateadas"),1280.24*(F844*G844)))</f>
        <v/>
      </c>
      <c r="K844" s="106" t="str">
        <f aca="false">IF(A844="","",IF(J844-I844&gt;=0,"OK",J844-I844))</f>
        <v/>
      </c>
    </row>
    <row r="845" customFormat="false" ht="14.25" hidden="false" customHeight="true" outlineLevel="0" collapsed="false">
      <c r="A845" s="106"/>
      <c r="B845" s="106"/>
      <c r="C845" s="107"/>
      <c r="D845" s="106"/>
      <c r="E845" s="106"/>
      <c r="F845" s="130" t="str">
        <f aca="false">IF(A845="","",MIN(E845/(37.5),1))</f>
        <v/>
      </c>
      <c r="G845" s="108"/>
      <c r="H845" s="106"/>
      <c r="I845" s="107"/>
      <c r="J845" s="131" t="str">
        <f aca="false" t="array" ref="J845:J845">IF(A845="","",ifs(AND(D845=1,H845="Pagas prorrateadas"),2705.41*(F845*G845),AND(D845=1,H845="Pagas no prorrateadas"),2318.93*(F845*G845),AND(D845=2,H845="Pagas prorrateadas"),2246.07*(F845*G845),AND(D845=2,H845="Pagas no prorrateadas"),1925.21*(F845*G845),AND(D845=3,H845="Pagas prorrateadas"),1775.44*(F845*G845),AND(D845=3,H845="Pagas no prorrateadas"),1521.81*(F845*G845),AND(D845=5,H845="Pagas prorrateadas"),1535.9*(F845*G845),AND(D845=5,H845="Pagas no prorrateadas"),1316.49*(F845*G845),AND(D845=7,H845="Pagas prorrateadas"),1493.61*(F845*G845),AND(D845=7,H845="Pagas no prorrateadas"),1280.24*(F845*G845)))</f>
        <v/>
      </c>
      <c r="K845" s="106" t="str">
        <f aca="false">IF(A845="","",IF(J845-I845&gt;=0,"OK",J845-I845))</f>
        <v/>
      </c>
    </row>
    <row r="846" customFormat="false" ht="14.25" hidden="false" customHeight="true" outlineLevel="0" collapsed="false">
      <c r="A846" s="106"/>
      <c r="B846" s="106"/>
      <c r="C846" s="107"/>
      <c r="D846" s="106"/>
      <c r="E846" s="106"/>
      <c r="F846" s="130" t="str">
        <f aca="false">IF(A846="","",MIN(E846/(37.5),1))</f>
        <v/>
      </c>
      <c r="G846" s="108"/>
      <c r="H846" s="106"/>
      <c r="I846" s="107"/>
      <c r="J846" s="131" t="str">
        <f aca="false" t="array" ref="J846:J846">IF(A846="","",ifs(AND(D846=1,H846="Pagas prorrateadas"),2705.41*(F846*G846),AND(D846=1,H846="Pagas no prorrateadas"),2318.93*(F846*G846),AND(D846=2,H846="Pagas prorrateadas"),2246.07*(F846*G846),AND(D846=2,H846="Pagas no prorrateadas"),1925.21*(F846*G846),AND(D846=3,H846="Pagas prorrateadas"),1775.44*(F846*G846),AND(D846=3,H846="Pagas no prorrateadas"),1521.81*(F846*G846),AND(D846=5,H846="Pagas prorrateadas"),1535.9*(F846*G846),AND(D846=5,H846="Pagas no prorrateadas"),1316.49*(F846*G846),AND(D846=7,H846="Pagas prorrateadas"),1493.61*(F846*G846),AND(D846=7,H846="Pagas no prorrateadas"),1280.24*(F846*G846)))</f>
        <v/>
      </c>
      <c r="K846" s="106" t="str">
        <f aca="false">IF(A846="","",IF(J846-I846&gt;=0,"OK",J846-I846))</f>
        <v/>
      </c>
    </row>
    <row r="847" customFormat="false" ht="14.25" hidden="false" customHeight="true" outlineLevel="0" collapsed="false">
      <c r="A847" s="106"/>
      <c r="B847" s="106"/>
      <c r="C847" s="107"/>
      <c r="D847" s="106"/>
      <c r="E847" s="106"/>
      <c r="F847" s="130" t="str">
        <f aca="false">IF(A847="","",MIN(E847/(37.5),1))</f>
        <v/>
      </c>
      <c r="G847" s="108"/>
      <c r="H847" s="106"/>
      <c r="I847" s="107"/>
      <c r="J847" s="131" t="str">
        <f aca="false" t="array" ref="J847:J847">IF(A847="","",ifs(AND(D847=1,H847="Pagas prorrateadas"),2705.41*(F847*G847),AND(D847=1,H847="Pagas no prorrateadas"),2318.93*(F847*G847),AND(D847=2,H847="Pagas prorrateadas"),2246.07*(F847*G847),AND(D847=2,H847="Pagas no prorrateadas"),1925.21*(F847*G847),AND(D847=3,H847="Pagas prorrateadas"),1775.44*(F847*G847),AND(D847=3,H847="Pagas no prorrateadas"),1521.81*(F847*G847),AND(D847=5,H847="Pagas prorrateadas"),1535.9*(F847*G847),AND(D847=5,H847="Pagas no prorrateadas"),1316.49*(F847*G847),AND(D847=7,H847="Pagas prorrateadas"),1493.61*(F847*G847),AND(D847=7,H847="Pagas no prorrateadas"),1280.24*(F847*G847)))</f>
        <v/>
      </c>
      <c r="K847" s="106" t="str">
        <f aca="false">IF(A847="","",IF(J847-I847&gt;=0,"OK",J847-I847))</f>
        <v/>
      </c>
    </row>
    <row r="848" customFormat="false" ht="14.25" hidden="false" customHeight="true" outlineLevel="0" collapsed="false">
      <c r="A848" s="106"/>
      <c r="B848" s="106"/>
      <c r="C848" s="107"/>
      <c r="D848" s="106"/>
      <c r="E848" s="106"/>
      <c r="F848" s="130" t="str">
        <f aca="false">IF(A848="","",MIN(E848/(37.5),1))</f>
        <v/>
      </c>
      <c r="G848" s="108"/>
      <c r="H848" s="106"/>
      <c r="I848" s="107"/>
      <c r="J848" s="131" t="str">
        <f aca="false" t="array" ref="J848:J848">IF(A848="","",ifs(AND(D848=1,H848="Pagas prorrateadas"),2705.41*(F848*G848),AND(D848=1,H848="Pagas no prorrateadas"),2318.93*(F848*G848),AND(D848=2,H848="Pagas prorrateadas"),2246.07*(F848*G848),AND(D848=2,H848="Pagas no prorrateadas"),1925.21*(F848*G848),AND(D848=3,H848="Pagas prorrateadas"),1775.44*(F848*G848),AND(D848=3,H848="Pagas no prorrateadas"),1521.81*(F848*G848),AND(D848=5,H848="Pagas prorrateadas"),1535.9*(F848*G848),AND(D848=5,H848="Pagas no prorrateadas"),1316.49*(F848*G848),AND(D848=7,H848="Pagas prorrateadas"),1493.61*(F848*G848),AND(D848=7,H848="Pagas no prorrateadas"),1280.24*(F848*G848)))</f>
        <v/>
      </c>
      <c r="K848" s="106" t="str">
        <f aca="false">IF(A848="","",IF(J848-I848&gt;=0,"OK",J848-I848))</f>
        <v/>
      </c>
    </row>
    <row r="849" customFormat="false" ht="14.25" hidden="false" customHeight="true" outlineLevel="0" collapsed="false">
      <c r="A849" s="106"/>
      <c r="B849" s="106"/>
      <c r="C849" s="107"/>
      <c r="D849" s="106"/>
      <c r="E849" s="106"/>
      <c r="F849" s="130" t="str">
        <f aca="false">IF(A849="","",MIN(E849/(37.5),1))</f>
        <v/>
      </c>
      <c r="G849" s="108"/>
      <c r="H849" s="106"/>
      <c r="I849" s="107"/>
      <c r="J849" s="131" t="str">
        <f aca="false" t="array" ref="J849:J849">IF(A849="","",ifs(AND(D849=1,H849="Pagas prorrateadas"),2705.41*(F849*G849),AND(D849=1,H849="Pagas no prorrateadas"),2318.93*(F849*G849),AND(D849=2,H849="Pagas prorrateadas"),2246.07*(F849*G849),AND(D849=2,H849="Pagas no prorrateadas"),1925.21*(F849*G849),AND(D849=3,H849="Pagas prorrateadas"),1775.44*(F849*G849),AND(D849=3,H849="Pagas no prorrateadas"),1521.81*(F849*G849),AND(D849=5,H849="Pagas prorrateadas"),1535.9*(F849*G849),AND(D849=5,H849="Pagas no prorrateadas"),1316.49*(F849*G849),AND(D849=7,H849="Pagas prorrateadas"),1493.61*(F849*G849),AND(D849=7,H849="Pagas no prorrateadas"),1280.24*(F849*G849)))</f>
        <v/>
      </c>
      <c r="K849" s="106" t="str">
        <f aca="false">IF(A849="","",IF(J849-I849&gt;=0,"OK",J849-I849))</f>
        <v/>
      </c>
    </row>
    <row r="850" customFormat="false" ht="14.25" hidden="false" customHeight="true" outlineLevel="0" collapsed="false">
      <c r="A850" s="106"/>
      <c r="B850" s="106"/>
      <c r="C850" s="107"/>
      <c r="D850" s="106"/>
      <c r="E850" s="106"/>
      <c r="F850" s="130" t="str">
        <f aca="false">IF(A850="","",MIN(E850/(37.5),1))</f>
        <v/>
      </c>
      <c r="G850" s="108"/>
      <c r="H850" s="106"/>
      <c r="I850" s="107"/>
      <c r="J850" s="131" t="str">
        <f aca="false" t="array" ref="J850:J850">IF(A850="","",ifs(AND(D850=1,H850="Pagas prorrateadas"),2705.41*(F850*G850),AND(D850=1,H850="Pagas no prorrateadas"),2318.93*(F850*G850),AND(D850=2,H850="Pagas prorrateadas"),2246.07*(F850*G850),AND(D850=2,H850="Pagas no prorrateadas"),1925.21*(F850*G850),AND(D850=3,H850="Pagas prorrateadas"),1775.44*(F850*G850),AND(D850=3,H850="Pagas no prorrateadas"),1521.81*(F850*G850),AND(D850=5,H850="Pagas prorrateadas"),1535.9*(F850*G850),AND(D850=5,H850="Pagas no prorrateadas"),1316.49*(F850*G850),AND(D850=7,H850="Pagas prorrateadas"),1493.61*(F850*G850),AND(D850=7,H850="Pagas no prorrateadas"),1280.24*(F850*G850)))</f>
        <v/>
      </c>
      <c r="K850" s="106" t="str">
        <f aca="false">IF(A850="","",IF(J850-I850&gt;=0,"OK",J850-I850))</f>
        <v/>
      </c>
    </row>
    <row r="851" customFormat="false" ht="14.25" hidden="false" customHeight="true" outlineLevel="0" collapsed="false">
      <c r="A851" s="106"/>
      <c r="B851" s="106"/>
      <c r="C851" s="107"/>
      <c r="D851" s="106"/>
      <c r="E851" s="106"/>
      <c r="F851" s="130" t="str">
        <f aca="false">IF(A851="","",MIN(E851/(37.5),1))</f>
        <v/>
      </c>
      <c r="G851" s="108"/>
      <c r="H851" s="106"/>
      <c r="I851" s="107"/>
      <c r="J851" s="131" t="str">
        <f aca="false" t="array" ref="J851:J851">IF(A851="","",ifs(AND(D851=1,H851="Pagas prorrateadas"),2705.41*(F851*G851),AND(D851=1,H851="Pagas no prorrateadas"),2318.93*(F851*G851),AND(D851=2,H851="Pagas prorrateadas"),2246.07*(F851*G851),AND(D851=2,H851="Pagas no prorrateadas"),1925.21*(F851*G851),AND(D851=3,H851="Pagas prorrateadas"),1775.44*(F851*G851),AND(D851=3,H851="Pagas no prorrateadas"),1521.81*(F851*G851),AND(D851=5,H851="Pagas prorrateadas"),1535.9*(F851*G851),AND(D851=5,H851="Pagas no prorrateadas"),1316.49*(F851*G851),AND(D851=7,H851="Pagas prorrateadas"),1493.61*(F851*G851),AND(D851=7,H851="Pagas no prorrateadas"),1280.24*(F851*G851)))</f>
        <v/>
      </c>
      <c r="K851" s="106" t="str">
        <f aca="false">IF(A851="","",IF(J851-I851&gt;=0,"OK",J851-I851))</f>
        <v/>
      </c>
    </row>
    <row r="852" customFormat="false" ht="14.25" hidden="false" customHeight="true" outlineLevel="0" collapsed="false">
      <c r="A852" s="106"/>
      <c r="B852" s="106"/>
      <c r="C852" s="107"/>
      <c r="D852" s="106"/>
      <c r="E852" s="106"/>
      <c r="F852" s="130" t="str">
        <f aca="false">IF(A852="","",MIN(E852/(37.5),1))</f>
        <v/>
      </c>
      <c r="G852" s="108"/>
      <c r="H852" s="106"/>
      <c r="I852" s="107"/>
      <c r="J852" s="131" t="str">
        <f aca="false" t="array" ref="J852:J852">IF(A852="","",ifs(AND(D852=1,H852="Pagas prorrateadas"),2705.41*(F852*G852),AND(D852=1,H852="Pagas no prorrateadas"),2318.93*(F852*G852),AND(D852=2,H852="Pagas prorrateadas"),2246.07*(F852*G852),AND(D852=2,H852="Pagas no prorrateadas"),1925.21*(F852*G852),AND(D852=3,H852="Pagas prorrateadas"),1775.44*(F852*G852),AND(D852=3,H852="Pagas no prorrateadas"),1521.81*(F852*G852),AND(D852=5,H852="Pagas prorrateadas"),1535.9*(F852*G852),AND(D852=5,H852="Pagas no prorrateadas"),1316.49*(F852*G852),AND(D852=7,H852="Pagas prorrateadas"),1493.61*(F852*G852),AND(D852=7,H852="Pagas no prorrateadas"),1280.24*(F852*G852)))</f>
        <v/>
      </c>
      <c r="K852" s="106" t="str">
        <f aca="false">IF(A852="","",IF(J852-I852&gt;=0,"OK",J852-I852))</f>
        <v/>
      </c>
    </row>
    <row r="853" customFormat="false" ht="14.25" hidden="false" customHeight="true" outlineLevel="0" collapsed="false">
      <c r="A853" s="106"/>
      <c r="B853" s="106"/>
      <c r="C853" s="107"/>
      <c r="D853" s="106"/>
      <c r="E853" s="106"/>
      <c r="F853" s="130" t="str">
        <f aca="false">IF(A853="","",MIN(E853/(37.5),1))</f>
        <v/>
      </c>
      <c r="G853" s="108"/>
      <c r="H853" s="106"/>
      <c r="I853" s="107"/>
      <c r="J853" s="131" t="str">
        <f aca="false" t="array" ref="J853:J853">IF(A853="","",ifs(AND(D853=1,H853="Pagas prorrateadas"),2705.41*(F853*G853),AND(D853=1,H853="Pagas no prorrateadas"),2318.93*(F853*G853),AND(D853=2,H853="Pagas prorrateadas"),2246.07*(F853*G853),AND(D853=2,H853="Pagas no prorrateadas"),1925.21*(F853*G853),AND(D853=3,H853="Pagas prorrateadas"),1775.44*(F853*G853),AND(D853=3,H853="Pagas no prorrateadas"),1521.81*(F853*G853),AND(D853=5,H853="Pagas prorrateadas"),1535.9*(F853*G853),AND(D853=5,H853="Pagas no prorrateadas"),1316.49*(F853*G853),AND(D853=7,H853="Pagas prorrateadas"),1493.61*(F853*G853),AND(D853=7,H853="Pagas no prorrateadas"),1280.24*(F853*G853)))</f>
        <v/>
      </c>
      <c r="K853" s="106" t="str">
        <f aca="false">IF(A853="","",IF(J853-I853&gt;=0,"OK",J853-I853))</f>
        <v/>
      </c>
    </row>
    <row r="854" customFormat="false" ht="14.25" hidden="false" customHeight="true" outlineLevel="0" collapsed="false">
      <c r="A854" s="106"/>
      <c r="B854" s="106"/>
      <c r="C854" s="107"/>
      <c r="D854" s="106"/>
      <c r="E854" s="106"/>
      <c r="F854" s="130" t="str">
        <f aca="false">IF(A854="","",MIN(E854/(37.5),1))</f>
        <v/>
      </c>
      <c r="G854" s="108"/>
      <c r="H854" s="106"/>
      <c r="I854" s="107"/>
      <c r="J854" s="131" t="str">
        <f aca="false" t="array" ref="J854:J854">IF(A854="","",ifs(AND(D854=1,H854="Pagas prorrateadas"),2705.41*(F854*G854),AND(D854=1,H854="Pagas no prorrateadas"),2318.93*(F854*G854),AND(D854=2,H854="Pagas prorrateadas"),2246.07*(F854*G854),AND(D854=2,H854="Pagas no prorrateadas"),1925.21*(F854*G854),AND(D854=3,H854="Pagas prorrateadas"),1775.44*(F854*G854),AND(D854=3,H854="Pagas no prorrateadas"),1521.81*(F854*G854),AND(D854=5,H854="Pagas prorrateadas"),1535.9*(F854*G854),AND(D854=5,H854="Pagas no prorrateadas"),1316.49*(F854*G854),AND(D854=7,H854="Pagas prorrateadas"),1493.61*(F854*G854),AND(D854=7,H854="Pagas no prorrateadas"),1280.24*(F854*G854)))</f>
        <v/>
      </c>
      <c r="K854" s="106" t="str">
        <f aca="false">IF(A854="","",IF(J854-I854&gt;=0,"OK",J854-I854))</f>
        <v/>
      </c>
    </row>
    <row r="855" customFormat="false" ht="14.25" hidden="false" customHeight="true" outlineLevel="0" collapsed="false">
      <c r="A855" s="106"/>
      <c r="B855" s="106"/>
      <c r="C855" s="107"/>
      <c r="D855" s="106"/>
      <c r="E855" s="106"/>
      <c r="F855" s="130" t="str">
        <f aca="false">IF(A855="","",MIN(E855/(37.5),1))</f>
        <v/>
      </c>
      <c r="G855" s="108"/>
      <c r="H855" s="106"/>
      <c r="I855" s="107"/>
      <c r="J855" s="131" t="str">
        <f aca="false" t="array" ref="J855:J855">IF(A855="","",ifs(AND(D855=1,H855="Pagas prorrateadas"),2705.41*(F855*G855),AND(D855=1,H855="Pagas no prorrateadas"),2318.93*(F855*G855),AND(D855=2,H855="Pagas prorrateadas"),2246.07*(F855*G855),AND(D855=2,H855="Pagas no prorrateadas"),1925.21*(F855*G855),AND(D855=3,H855="Pagas prorrateadas"),1775.44*(F855*G855),AND(D855=3,H855="Pagas no prorrateadas"),1521.81*(F855*G855),AND(D855=5,H855="Pagas prorrateadas"),1535.9*(F855*G855),AND(D855=5,H855="Pagas no prorrateadas"),1316.49*(F855*G855),AND(D855=7,H855="Pagas prorrateadas"),1493.61*(F855*G855),AND(D855=7,H855="Pagas no prorrateadas"),1280.24*(F855*G855)))</f>
        <v/>
      </c>
      <c r="K855" s="106" t="str">
        <f aca="false">IF(A855="","",IF(J855-I855&gt;=0,"OK",J855-I855))</f>
        <v/>
      </c>
    </row>
    <row r="856" customFormat="false" ht="14.25" hidden="false" customHeight="true" outlineLevel="0" collapsed="false">
      <c r="A856" s="106"/>
      <c r="B856" s="106"/>
      <c r="C856" s="107"/>
      <c r="D856" s="106"/>
      <c r="E856" s="106"/>
      <c r="F856" s="130" t="str">
        <f aca="false">IF(A856="","",MIN(E856/(37.5),1))</f>
        <v/>
      </c>
      <c r="G856" s="108"/>
      <c r="H856" s="106"/>
      <c r="I856" s="107"/>
      <c r="J856" s="131" t="str">
        <f aca="false" t="array" ref="J856:J856">IF(A856="","",ifs(AND(D856=1,H856="Pagas prorrateadas"),2705.41*(F856*G856),AND(D856=1,H856="Pagas no prorrateadas"),2318.93*(F856*G856),AND(D856=2,H856="Pagas prorrateadas"),2246.07*(F856*G856),AND(D856=2,H856="Pagas no prorrateadas"),1925.21*(F856*G856),AND(D856=3,H856="Pagas prorrateadas"),1775.44*(F856*G856),AND(D856=3,H856="Pagas no prorrateadas"),1521.81*(F856*G856),AND(D856=5,H856="Pagas prorrateadas"),1535.9*(F856*G856),AND(D856=5,H856="Pagas no prorrateadas"),1316.49*(F856*G856),AND(D856=7,H856="Pagas prorrateadas"),1493.61*(F856*G856),AND(D856=7,H856="Pagas no prorrateadas"),1280.24*(F856*G856)))</f>
        <v/>
      </c>
      <c r="K856" s="106" t="str">
        <f aca="false">IF(A856="","",IF(J856-I856&gt;=0,"OK",J856-I856))</f>
        <v/>
      </c>
    </row>
    <row r="857" customFormat="false" ht="14.25" hidden="false" customHeight="true" outlineLevel="0" collapsed="false">
      <c r="A857" s="106"/>
      <c r="B857" s="106"/>
      <c r="C857" s="107"/>
      <c r="D857" s="106"/>
      <c r="E857" s="106"/>
      <c r="F857" s="130" t="str">
        <f aca="false">IF(A857="","",MIN(E857/(37.5),1))</f>
        <v/>
      </c>
      <c r="G857" s="108"/>
      <c r="H857" s="106"/>
      <c r="I857" s="107"/>
      <c r="J857" s="131" t="str">
        <f aca="false" t="array" ref="J857:J857">IF(A857="","",ifs(AND(D857=1,H857="Pagas prorrateadas"),2705.41*(F857*G857),AND(D857=1,H857="Pagas no prorrateadas"),2318.93*(F857*G857),AND(D857=2,H857="Pagas prorrateadas"),2246.07*(F857*G857),AND(D857=2,H857="Pagas no prorrateadas"),1925.21*(F857*G857),AND(D857=3,H857="Pagas prorrateadas"),1775.44*(F857*G857),AND(D857=3,H857="Pagas no prorrateadas"),1521.81*(F857*G857),AND(D857=5,H857="Pagas prorrateadas"),1535.9*(F857*G857),AND(D857=5,H857="Pagas no prorrateadas"),1316.49*(F857*G857),AND(D857=7,H857="Pagas prorrateadas"),1493.61*(F857*G857),AND(D857=7,H857="Pagas no prorrateadas"),1280.24*(F857*G857)))</f>
        <v/>
      </c>
      <c r="K857" s="106" t="str">
        <f aca="false">IF(A857="","",IF(J857-I857&gt;=0,"OK",J857-I857))</f>
        <v/>
      </c>
    </row>
    <row r="858" customFormat="false" ht="14.25" hidden="false" customHeight="true" outlineLevel="0" collapsed="false">
      <c r="A858" s="106"/>
      <c r="B858" s="106"/>
      <c r="C858" s="107"/>
      <c r="D858" s="106"/>
      <c r="E858" s="106"/>
      <c r="F858" s="130" t="str">
        <f aca="false">IF(A858="","",MIN(E858/(37.5),1))</f>
        <v/>
      </c>
      <c r="G858" s="108"/>
      <c r="H858" s="106"/>
      <c r="I858" s="107"/>
      <c r="J858" s="131" t="str">
        <f aca="false" t="array" ref="J858:J858">IF(A858="","",ifs(AND(D858=1,H858="Pagas prorrateadas"),2705.41*(F858*G858),AND(D858=1,H858="Pagas no prorrateadas"),2318.93*(F858*G858),AND(D858=2,H858="Pagas prorrateadas"),2246.07*(F858*G858),AND(D858=2,H858="Pagas no prorrateadas"),1925.21*(F858*G858),AND(D858=3,H858="Pagas prorrateadas"),1775.44*(F858*G858),AND(D858=3,H858="Pagas no prorrateadas"),1521.81*(F858*G858),AND(D858=5,H858="Pagas prorrateadas"),1535.9*(F858*G858),AND(D858=5,H858="Pagas no prorrateadas"),1316.49*(F858*G858),AND(D858=7,H858="Pagas prorrateadas"),1493.61*(F858*G858),AND(D858=7,H858="Pagas no prorrateadas"),1280.24*(F858*G858)))</f>
        <v/>
      </c>
      <c r="K858" s="106" t="str">
        <f aca="false">IF(A858="","",IF(J858-I858&gt;=0,"OK",J858-I858))</f>
        <v/>
      </c>
    </row>
    <row r="859" customFormat="false" ht="14.25" hidden="false" customHeight="true" outlineLevel="0" collapsed="false">
      <c r="A859" s="106"/>
      <c r="B859" s="106"/>
      <c r="C859" s="107"/>
      <c r="D859" s="106"/>
      <c r="E859" s="106"/>
      <c r="F859" s="130" t="str">
        <f aca="false">IF(A859="","",MIN(E859/(37.5),1))</f>
        <v/>
      </c>
      <c r="G859" s="108"/>
      <c r="H859" s="106"/>
      <c r="I859" s="107"/>
      <c r="J859" s="131" t="str">
        <f aca="false" t="array" ref="J859:J859">IF(A859="","",ifs(AND(D859=1,H859="Pagas prorrateadas"),2705.41*(F859*G859),AND(D859=1,H859="Pagas no prorrateadas"),2318.93*(F859*G859),AND(D859=2,H859="Pagas prorrateadas"),2246.07*(F859*G859),AND(D859=2,H859="Pagas no prorrateadas"),1925.21*(F859*G859),AND(D859=3,H859="Pagas prorrateadas"),1775.44*(F859*G859),AND(D859=3,H859="Pagas no prorrateadas"),1521.81*(F859*G859),AND(D859=5,H859="Pagas prorrateadas"),1535.9*(F859*G859),AND(D859=5,H859="Pagas no prorrateadas"),1316.49*(F859*G859),AND(D859=7,H859="Pagas prorrateadas"),1493.61*(F859*G859),AND(D859=7,H859="Pagas no prorrateadas"),1280.24*(F859*G859)))</f>
        <v/>
      </c>
      <c r="K859" s="106" t="str">
        <f aca="false">IF(A859="","",IF(J859-I859&gt;=0,"OK",J859-I859))</f>
        <v/>
      </c>
    </row>
    <row r="860" customFormat="false" ht="14.25" hidden="false" customHeight="true" outlineLevel="0" collapsed="false">
      <c r="A860" s="106"/>
      <c r="B860" s="106"/>
      <c r="C860" s="107"/>
      <c r="D860" s="106"/>
      <c r="E860" s="106"/>
      <c r="F860" s="130" t="str">
        <f aca="false">IF(A860="","",MIN(E860/(37.5),1))</f>
        <v/>
      </c>
      <c r="G860" s="108"/>
      <c r="H860" s="106"/>
      <c r="I860" s="107"/>
      <c r="J860" s="131" t="str">
        <f aca="false" t="array" ref="J860:J860">IF(A860="","",ifs(AND(D860=1,H860="Pagas prorrateadas"),2705.41*(F860*G860),AND(D860=1,H860="Pagas no prorrateadas"),2318.93*(F860*G860),AND(D860=2,H860="Pagas prorrateadas"),2246.07*(F860*G860),AND(D860=2,H860="Pagas no prorrateadas"),1925.21*(F860*G860),AND(D860=3,H860="Pagas prorrateadas"),1775.44*(F860*G860),AND(D860=3,H860="Pagas no prorrateadas"),1521.81*(F860*G860),AND(D860=5,H860="Pagas prorrateadas"),1535.9*(F860*G860),AND(D860=5,H860="Pagas no prorrateadas"),1316.49*(F860*G860),AND(D860=7,H860="Pagas prorrateadas"),1493.61*(F860*G860),AND(D860=7,H860="Pagas no prorrateadas"),1280.24*(F860*G860)))</f>
        <v/>
      </c>
      <c r="K860" s="106" t="str">
        <f aca="false">IF(A860="","",IF(J860-I860&gt;=0,"OK",J860-I860))</f>
        <v/>
      </c>
    </row>
    <row r="861" customFormat="false" ht="14.25" hidden="false" customHeight="true" outlineLevel="0" collapsed="false">
      <c r="A861" s="106"/>
      <c r="B861" s="106"/>
      <c r="C861" s="107"/>
      <c r="D861" s="106"/>
      <c r="E861" s="106"/>
      <c r="F861" s="130" t="str">
        <f aca="false">IF(A861="","",MIN(E861/(37.5),1))</f>
        <v/>
      </c>
      <c r="G861" s="108"/>
      <c r="H861" s="106"/>
      <c r="I861" s="107"/>
      <c r="J861" s="131" t="str">
        <f aca="false" t="array" ref="J861:J861">IF(A861="","",ifs(AND(D861=1,H861="Pagas prorrateadas"),2705.41*(F861*G861),AND(D861=1,H861="Pagas no prorrateadas"),2318.93*(F861*G861),AND(D861=2,H861="Pagas prorrateadas"),2246.07*(F861*G861),AND(D861=2,H861="Pagas no prorrateadas"),1925.21*(F861*G861),AND(D861=3,H861="Pagas prorrateadas"),1775.44*(F861*G861),AND(D861=3,H861="Pagas no prorrateadas"),1521.81*(F861*G861),AND(D861=5,H861="Pagas prorrateadas"),1535.9*(F861*G861),AND(D861=5,H861="Pagas no prorrateadas"),1316.49*(F861*G861),AND(D861=7,H861="Pagas prorrateadas"),1493.61*(F861*G861),AND(D861=7,H861="Pagas no prorrateadas"),1280.24*(F861*G861)))</f>
        <v/>
      </c>
      <c r="K861" s="106" t="str">
        <f aca="false">IF(A861="","",IF(J861-I861&gt;=0,"OK",J861-I861))</f>
        <v/>
      </c>
    </row>
    <row r="862" customFormat="false" ht="14.25" hidden="false" customHeight="true" outlineLevel="0" collapsed="false">
      <c r="A862" s="106"/>
      <c r="B862" s="106"/>
      <c r="C862" s="107"/>
      <c r="D862" s="106"/>
      <c r="E862" s="106"/>
      <c r="F862" s="130" t="str">
        <f aca="false">IF(A862="","",MIN(E862/(37.5),1))</f>
        <v/>
      </c>
      <c r="G862" s="108"/>
      <c r="H862" s="106"/>
      <c r="I862" s="107"/>
      <c r="J862" s="131" t="str">
        <f aca="false" t="array" ref="J862:J862">IF(A862="","",ifs(AND(D862=1,H862="Pagas prorrateadas"),2705.41*(F862*G862),AND(D862=1,H862="Pagas no prorrateadas"),2318.93*(F862*G862),AND(D862=2,H862="Pagas prorrateadas"),2246.07*(F862*G862),AND(D862=2,H862="Pagas no prorrateadas"),1925.21*(F862*G862),AND(D862=3,H862="Pagas prorrateadas"),1775.44*(F862*G862),AND(D862=3,H862="Pagas no prorrateadas"),1521.81*(F862*G862),AND(D862=5,H862="Pagas prorrateadas"),1535.9*(F862*G862),AND(D862=5,H862="Pagas no prorrateadas"),1316.49*(F862*G862),AND(D862=7,H862="Pagas prorrateadas"),1493.61*(F862*G862),AND(D862=7,H862="Pagas no prorrateadas"),1280.24*(F862*G862)))</f>
        <v/>
      </c>
      <c r="K862" s="106" t="str">
        <f aca="false">IF(A862="","",IF(J862-I862&gt;=0,"OK",J862-I862))</f>
        <v/>
      </c>
    </row>
    <row r="863" customFormat="false" ht="14.25" hidden="false" customHeight="true" outlineLevel="0" collapsed="false">
      <c r="A863" s="106"/>
      <c r="B863" s="106"/>
      <c r="C863" s="107"/>
      <c r="D863" s="106"/>
      <c r="E863" s="106"/>
      <c r="F863" s="130" t="str">
        <f aca="false">IF(A863="","",MIN(E863/(37.5),1))</f>
        <v/>
      </c>
      <c r="G863" s="108"/>
      <c r="H863" s="106"/>
      <c r="I863" s="107"/>
      <c r="J863" s="131" t="str">
        <f aca="false" t="array" ref="J863:J863">IF(A863="","",ifs(AND(D863=1,H863="Pagas prorrateadas"),2705.41*(F863*G863),AND(D863=1,H863="Pagas no prorrateadas"),2318.93*(F863*G863),AND(D863=2,H863="Pagas prorrateadas"),2246.07*(F863*G863),AND(D863=2,H863="Pagas no prorrateadas"),1925.21*(F863*G863),AND(D863=3,H863="Pagas prorrateadas"),1775.44*(F863*G863),AND(D863=3,H863="Pagas no prorrateadas"),1521.81*(F863*G863),AND(D863=5,H863="Pagas prorrateadas"),1535.9*(F863*G863),AND(D863=5,H863="Pagas no prorrateadas"),1316.49*(F863*G863),AND(D863=7,H863="Pagas prorrateadas"),1493.61*(F863*G863),AND(D863=7,H863="Pagas no prorrateadas"),1280.24*(F863*G863)))</f>
        <v/>
      </c>
      <c r="K863" s="106" t="str">
        <f aca="false">IF(A863="","",IF(J863-I863&gt;=0,"OK",J863-I863))</f>
        <v/>
      </c>
    </row>
    <row r="864" customFormat="false" ht="14.25" hidden="false" customHeight="true" outlineLevel="0" collapsed="false">
      <c r="A864" s="106"/>
      <c r="B864" s="106"/>
      <c r="C864" s="107"/>
      <c r="D864" s="106"/>
      <c r="E864" s="106"/>
      <c r="F864" s="130" t="str">
        <f aca="false">IF(A864="","",MIN(E864/(37.5),1))</f>
        <v/>
      </c>
      <c r="G864" s="108"/>
      <c r="H864" s="106"/>
      <c r="I864" s="107"/>
      <c r="J864" s="131" t="str">
        <f aca="false" t="array" ref="J864:J864">IF(A864="","",ifs(AND(D864=1,H864="Pagas prorrateadas"),2705.41*(F864*G864),AND(D864=1,H864="Pagas no prorrateadas"),2318.93*(F864*G864),AND(D864=2,H864="Pagas prorrateadas"),2246.07*(F864*G864),AND(D864=2,H864="Pagas no prorrateadas"),1925.21*(F864*G864),AND(D864=3,H864="Pagas prorrateadas"),1775.44*(F864*G864),AND(D864=3,H864="Pagas no prorrateadas"),1521.81*(F864*G864),AND(D864=5,H864="Pagas prorrateadas"),1535.9*(F864*G864),AND(D864=5,H864="Pagas no prorrateadas"),1316.49*(F864*G864),AND(D864=7,H864="Pagas prorrateadas"),1493.61*(F864*G864),AND(D864=7,H864="Pagas no prorrateadas"),1280.24*(F864*G864)))</f>
        <v/>
      </c>
      <c r="K864" s="106" t="str">
        <f aca="false">IF(A864="","",IF(J864-I864&gt;=0,"OK",J864-I864))</f>
        <v/>
      </c>
    </row>
    <row r="865" customFormat="false" ht="14.25" hidden="false" customHeight="true" outlineLevel="0" collapsed="false">
      <c r="A865" s="106"/>
      <c r="B865" s="106"/>
      <c r="C865" s="107"/>
      <c r="D865" s="106"/>
      <c r="E865" s="106"/>
      <c r="F865" s="130" t="str">
        <f aca="false">IF(A865="","",MIN(E865/(37.5),1))</f>
        <v/>
      </c>
      <c r="G865" s="108"/>
      <c r="H865" s="106"/>
      <c r="I865" s="107"/>
      <c r="J865" s="131" t="str">
        <f aca="false" t="array" ref="J865:J865">IF(A865="","",ifs(AND(D865=1,H865="Pagas prorrateadas"),2705.41*(F865*G865),AND(D865=1,H865="Pagas no prorrateadas"),2318.93*(F865*G865),AND(D865=2,H865="Pagas prorrateadas"),2246.07*(F865*G865),AND(D865=2,H865="Pagas no prorrateadas"),1925.21*(F865*G865),AND(D865=3,H865="Pagas prorrateadas"),1775.44*(F865*G865),AND(D865=3,H865="Pagas no prorrateadas"),1521.81*(F865*G865),AND(D865=5,H865="Pagas prorrateadas"),1535.9*(F865*G865),AND(D865=5,H865="Pagas no prorrateadas"),1316.49*(F865*G865),AND(D865=7,H865="Pagas prorrateadas"),1493.61*(F865*G865),AND(D865=7,H865="Pagas no prorrateadas"),1280.24*(F865*G865)))</f>
        <v/>
      </c>
      <c r="K865" s="106" t="str">
        <f aca="false">IF(A865="","",IF(J865-I865&gt;=0,"OK",J865-I865))</f>
        <v/>
      </c>
    </row>
    <row r="866" customFormat="false" ht="14.25" hidden="false" customHeight="true" outlineLevel="0" collapsed="false">
      <c r="A866" s="106"/>
      <c r="B866" s="106"/>
      <c r="C866" s="107"/>
      <c r="D866" s="106"/>
      <c r="E866" s="106"/>
      <c r="F866" s="130" t="str">
        <f aca="false">IF(A866="","",MIN(E866/(37.5),1))</f>
        <v/>
      </c>
      <c r="G866" s="108"/>
      <c r="H866" s="106"/>
      <c r="I866" s="107"/>
      <c r="J866" s="131" t="str">
        <f aca="false" t="array" ref="J866:J866">IF(A866="","",ifs(AND(D866=1,H866="Pagas prorrateadas"),2705.41*(F866*G866),AND(D866=1,H866="Pagas no prorrateadas"),2318.93*(F866*G866),AND(D866=2,H866="Pagas prorrateadas"),2246.07*(F866*G866),AND(D866=2,H866="Pagas no prorrateadas"),1925.21*(F866*G866),AND(D866=3,H866="Pagas prorrateadas"),1775.44*(F866*G866),AND(D866=3,H866="Pagas no prorrateadas"),1521.81*(F866*G866),AND(D866=5,H866="Pagas prorrateadas"),1535.9*(F866*G866),AND(D866=5,H866="Pagas no prorrateadas"),1316.49*(F866*G866),AND(D866=7,H866="Pagas prorrateadas"),1493.61*(F866*G866),AND(D866=7,H866="Pagas no prorrateadas"),1280.24*(F866*G866)))</f>
        <v/>
      </c>
      <c r="K866" s="106" t="str">
        <f aca="false">IF(A866="","",IF(J866-I866&gt;=0,"OK",J866-I866))</f>
        <v/>
      </c>
    </row>
    <row r="867" customFormat="false" ht="14.25" hidden="false" customHeight="true" outlineLevel="0" collapsed="false">
      <c r="A867" s="106"/>
      <c r="B867" s="106"/>
      <c r="C867" s="107"/>
      <c r="D867" s="106"/>
      <c r="E867" s="106"/>
      <c r="F867" s="130" t="str">
        <f aca="false">IF(A867="","",MIN(E867/(37.5),1))</f>
        <v/>
      </c>
      <c r="G867" s="108"/>
      <c r="H867" s="106"/>
      <c r="I867" s="107"/>
      <c r="J867" s="131" t="str">
        <f aca="false" t="array" ref="J867:J867">IF(A867="","",ifs(AND(D867=1,H867="Pagas prorrateadas"),2705.41*(F867*G867),AND(D867=1,H867="Pagas no prorrateadas"),2318.93*(F867*G867),AND(D867=2,H867="Pagas prorrateadas"),2246.07*(F867*G867),AND(D867=2,H867="Pagas no prorrateadas"),1925.21*(F867*G867),AND(D867=3,H867="Pagas prorrateadas"),1775.44*(F867*G867),AND(D867=3,H867="Pagas no prorrateadas"),1521.81*(F867*G867),AND(D867=5,H867="Pagas prorrateadas"),1535.9*(F867*G867),AND(D867=5,H867="Pagas no prorrateadas"),1316.49*(F867*G867),AND(D867=7,H867="Pagas prorrateadas"),1493.61*(F867*G867),AND(D867=7,H867="Pagas no prorrateadas"),1280.24*(F867*G867)))</f>
        <v/>
      </c>
      <c r="K867" s="106" t="str">
        <f aca="false">IF(A867="","",IF(J867-I867&gt;=0,"OK",J867-I867))</f>
        <v/>
      </c>
    </row>
    <row r="868" customFormat="false" ht="14.25" hidden="false" customHeight="true" outlineLevel="0" collapsed="false">
      <c r="A868" s="106"/>
      <c r="B868" s="106"/>
      <c r="C868" s="107"/>
      <c r="D868" s="106"/>
      <c r="E868" s="106"/>
      <c r="F868" s="130" t="str">
        <f aca="false">IF(A868="","",MIN(E868/(37.5),1))</f>
        <v/>
      </c>
      <c r="G868" s="108"/>
      <c r="H868" s="106"/>
      <c r="I868" s="107"/>
      <c r="J868" s="131" t="str">
        <f aca="false" t="array" ref="J868:J868">IF(A868="","",ifs(AND(D868=1,H868="Pagas prorrateadas"),2705.41*(F868*G868),AND(D868=1,H868="Pagas no prorrateadas"),2318.93*(F868*G868),AND(D868=2,H868="Pagas prorrateadas"),2246.07*(F868*G868),AND(D868=2,H868="Pagas no prorrateadas"),1925.21*(F868*G868),AND(D868=3,H868="Pagas prorrateadas"),1775.44*(F868*G868),AND(D868=3,H868="Pagas no prorrateadas"),1521.81*(F868*G868),AND(D868=5,H868="Pagas prorrateadas"),1535.9*(F868*G868),AND(D868=5,H868="Pagas no prorrateadas"),1316.49*(F868*G868),AND(D868=7,H868="Pagas prorrateadas"),1493.61*(F868*G868),AND(D868=7,H868="Pagas no prorrateadas"),1280.24*(F868*G868)))</f>
        <v/>
      </c>
      <c r="K868" s="106" t="str">
        <f aca="false">IF(A868="","",IF(J868-I868&gt;=0,"OK",J868-I868))</f>
        <v/>
      </c>
    </row>
    <row r="869" customFormat="false" ht="14.25" hidden="false" customHeight="true" outlineLevel="0" collapsed="false">
      <c r="A869" s="106"/>
      <c r="B869" s="106"/>
      <c r="C869" s="107"/>
      <c r="D869" s="106"/>
      <c r="E869" s="106"/>
      <c r="F869" s="130" t="str">
        <f aca="false">IF(A869="","",MIN(E869/(37.5),1))</f>
        <v/>
      </c>
      <c r="G869" s="108"/>
      <c r="H869" s="106"/>
      <c r="I869" s="107"/>
      <c r="J869" s="131" t="str">
        <f aca="false" t="array" ref="J869:J869">IF(A869="","",ifs(AND(D869=1,H869="Pagas prorrateadas"),2705.41*(F869*G869),AND(D869=1,H869="Pagas no prorrateadas"),2318.93*(F869*G869),AND(D869=2,H869="Pagas prorrateadas"),2246.07*(F869*G869),AND(D869=2,H869="Pagas no prorrateadas"),1925.21*(F869*G869),AND(D869=3,H869="Pagas prorrateadas"),1775.44*(F869*G869),AND(D869=3,H869="Pagas no prorrateadas"),1521.81*(F869*G869),AND(D869=5,H869="Pagas prorrateadas"),1535.9*(F869*G869),AND(D869=5,H869="Pagas no prorrateadas"),1316.49*(F869*G869),AND(D869=7,H869="Pagas prorrateadas"),1493.61*(F869*G869),AND(D869=7,H869="Pagas no prorrateadas"),1280.24*(F869*G869)))</f>
        <v/>
      </c>
      <c r="K869" s="106" t="str">
        <f aca="false">IF(A869="","",IF(J869-I869&gt;=0,"OK",J869-I869))</f>
        <v/>
      </c>
    </row>
    <row r="870" customFormat="false" ht="14.25" hidden="false" customHeight="true" outlineLevel="0" collapsed="false">
      <c r="A870" s="106"/>
      <c r="B870" s="106"/>
      <c r="C870" s="107"/>
      <c r="D870" s="106"/>
      <c r="E870" s="106"/>
      <c r="F870" s="130" t="str">
        <f aca="false">IF(A870="","",MIN(E870/(37.5),1))</f>
        <v/>
      </c>
      <c r="G870" s="108"/>
      <c r="H870" s="106"/>
      <c r="I870" s="107"/>
      <c r="J870" s="131" t="str">
        <f aca="false" t="array" ref="J870:J870">IF(A870="","",ifs(AND(D870=1,H870="Pagas prorrateadas"),2705.41*(F870*G870),AND(D870=1,H870="Pagas no prorrateadas"),2318.93*(F870*G870),AND(D870=2,H870="Pagas prorrateadas"),2246.07*(F870*G870),AND(D870=2,H870="Pagas no prorrateadas"),1925.21*(F870*G870),AND(D870=3,H870="Pagas prorrateadas"),1775.44*(F870*G870),AND(D870=3,H870="Pagas no prorrateadas"),1521.81*(F870*G870),AND(D870=5,H870="Pagas prorrateadas"),1535.9*(F870*G870),AND(D870=5,H870="Pagas no prorrateadas"),1316.49*(F870*G870),AND(D870=7,H870="Pagas prorrateadas"),1493.61*(F870*G870),AND(D870=7,H870="Pagas no prorrateadas"),1280.24*(F870*G870)))</f>
        <v/>
      </c>
      <c r="K870" s="106" t="str">
        <f aca="false">IF(A870="","",IF(J870-I870&gt;=0,"OK",J870-I870))</f>
        <v/>
      </c>
    </row>
    <row r="871" customFormat="false" ht="14.25" hidden="false" customHeight="true" outlineLevel="0" collapsed="false">
      <c r="A871" s="106"/>
      <c r="B871" s="106"/>
      <c r="C871" s="107"/>
      <c r="D871" s="106"/>
      <c r="E871" s="106"/>
      <c r="F871" s="130" t="str">
        <f aca="false">IF(A871="","",MIN(E871/(37.5),1))</f>
        <v/>
      </c>
      <c r="G871" s="108"/>
      <c r="H871" s="106"/>
      <c r="I871" s="107"/>
      <c r="J871" s="131" t="str">
        <f aca="false" t="array" ref="J871:J871">IF(A871="","",ifs(AND(D871=1,H871="Pagas prorrateadas"),2705.41*(F871*G871),AND(D871=1,H871="Pagas no prorrateadas"),2318.93*(F871*G871),AND(D871=2,H871="Pagas prorrateadas"),2246.07*(F871*G871),AND(D871=2,H871="Pagas no prorrateadas"),1925.21*(F871*G871),AND(D871=3,H871="Pagas prorrateadas"),1775.44*(F871*G871),AND(D871=3,H871="Pagas no prorrateadas"),1521.81*(F871*G871),AND(D871=5,H871="Pagas prorrateadas"),1535.9*(F871*G871),AND(D871=5,H871="Pagas no prorrateadas"),1316.49*(F871*G871),AND(D871=7,H871="Pagas prorrateadas"),1493.61*(F871*G871),AND(D871=7,H871="Pagas no prorrateadas"),1280.24*(F871*G871)))</f>
        <v/>
      </c>
      <c r="K871" s="106" t="str">
        <f aca="false">IF(A871="","",IF(J871-I871&gt;=0,"OK",J871-I871))</f>
        <v/>
      </c>
    </row>
    <row r="872" customFormat="false" ht="14.25" hidden="false" customHeight="true" outlineLevel="0" collapsed="false">
      <c r="A872" s="106"/>
      <c r="B872" s="106"/>
      <c r="C872" s="107"/>
      <c r="D872" s="106"/>
      <c r="E872" s="106"/>
      <c r="F872" s="130" t="str">
        <f aca="false">IF(A872="","",MIN(E872/(37.5),1))</f>
        <v/>
      </c>
      <c r="G872" s="108"/>
      <c r="H872" s="106"/>
      <c r="I872" s="107"/>
      <c r="J872" s="131" t="str">
        <f aca="false" t="array" ref="J872:J872">IF(A872="","",ifs(AND(D872=1,H872="Pagas prorrateadas"),2705.41*(F872*G872),AND(D872=1,H872="Pagas no prorrateadas"),2318.93*(F872*G872),AND(D872=2,H872="Pagas prorrateadas"),2246.07*(F872*G872),AND(D872=2,H872="Pagas no prorrateadas"),1925.21*(F872*G872),AND(D872=3,H872="Pagas prorrateadas"),1775.44*(F872*G872),AND(D872=3,H872="Pagas no prorrateadas"),1521.81*(F872*G872),AND(D872=5,H872="Pagas prorrateadas"),1535.9*(F872*G872),AND(D872=5,H872="Pagas no prorrateadas"),1316.49*(F872*G872),AND(D872=7,H872="Pagas prorrateadas"),1493.61*(F872*G872),AND(D872=7,H872="Pagas no prorrateadas"),1280.24*(F872*G872)))</f>
        <v/>
      </c>
      <c r="K872" s="106" t="str">
        <f aca="false">IF(A872="","",IF(J872-I872&gt;=0,"OK",J872-I872))</f>
        <v/>
      </c>
    </row>
    <row r="873" customFormat="false" ht="14.25" hidden="false" customHeight="true" outlineLevel="0" collapsed="false">
      <c r="A873" s="106"/>
      <c r="B873" s="106"/>
      <c r="C873" s="107"/>
      <c r="D873" s="106"/>
      <c r="E873" s="106"/>
      <c r="F873" s="130" t="str">
        <f aca="false">IF(A873="","",MIN(E873/(37.5),1))</f>
        <v/>
      </c>
      <c r="G873" s="108"/>
      <c r="H873" s="106"/>
      <c r="I873" s="107"/>
      <c r="J873" s="131" t="str">
        <f aca="false" t="array" ref="J873:J873">IF(A873="","",ifs(AND(D873=1,H873="Pagas prorrateadas"),2705.41*(F873*G873),AND(D873=1,H873="Pagas no prorrateadas"),2318.93*(F873*G873),AND(D873=2,H873="Pagas prorrateadas"),2246.07*(F873*G873),AND(D873=2,H873="Pagas no prorrateadas"),1925.21*(F873*G873),AND(D873=3,H873="Pagas prorrateadas"),1775.44*(F873*G873),AND(D873=3,H873="Pagas no prorrateadas"),1521.81*(F873*G873),AND(D873=5,H873="Pagas prorrateadas"),1535.9*(F873*G873),AND(D873=5,H873="Pagas no prorrateadas"),1316.49*(F873*G873),AND(D873=7,H873="Pagas prorrateadas"),1493.61*(F873*G873),AND(D873=7,H873="Pagas no prorrateadas"),1280.24*(F873*G873)))</f>
        <v/>
      </c>
      <c r="K873" s="106" t="str">
        <f aca="false">IF(A873="","",IF(J873-I873&gt;=0,"OK",J873-I873))</f>
        <v/>
      </c>
    </row>
    <row r="874" customFormat="false" ht="14.25" hidden="false" customHeight="true" outlineLevel="0" collapsed="false">
      <c r="A874" s="106"/>
      <c r="B874" s="106"/>
      <c r="C874" s="107"/>
      <c r="D874" s="106"/>
      <c r="E874" s="106"/>
      <c r="F874" s="130" t="str">
        <f aca="false">IF(A874="","",MIN(E874/(37.5),1))</f>
        <v/>
      </c>
      <c r="G874" s="108"/>
      <c r="H874" s="106"/>
      <c r="I874" s="107"/>
      <c r="J874" s="131" t="str">
        <f aca="false" t="array" ref="J874:J874">IF(A874="","",ifs(AND(D874=1,H874="Pagas prorrateadas"),2705.41*(F874*G874),AND(D874=1,H874="Pagas no prorrateadas"),2318.93*(F874*G874),AND(D874=2,H874="Pagas prorrateadas"),2246.07*(F874*G874),AND(D874=2,H874="Pagas no prorrateadas"),1925.21*(F874*G874),AND(D874=3,H874="Pagas prorrateadas"),1775.44*(F874*G874),AND(D874=3,H874="Pagas no prorrateadas"),1521.81*(F874*G874),AND(D874=5,H874="Pagas prorrateadas"),1535.9*(F874*G874),AND(D874=5,H874="Pagas no prorrateadas"),1316.49*(F874*G874),AND(D874=7,H874="Pagas prorrateadas"),1493.61*(F874*G874),AND(D874=7,H874="Pagas no prorrateadas"),1280.24*(F874*G874)))</f>
        <v/>
      </c>
      <c r="K874" s="106" t="str">
        <f aca="false">IF(A874="","",IF(J874-I874&gt;=0,"OK",J874-I874))</f>
        <v/>
      </c>
    </row>
    <row r="875" customFormat="false" ht="14.25" hidden="false" customHeight="true" outlineLevel="0" collapsed="false">
      <c r="A875" s="106"/>
      <c r="B875" s="106"/>
      <c r="C875" s="107"/>
      <c r="D875" s="106"/>
      <c r="E875" s="106"/>
      <c r="F875" s="130" t="str">
        <f aca="false">IF(A875="","",MIN(E875/(37.5),1))</f>
        <v/>
      </c>
      <c r="G875" s="108"/>
      <c r="H875" s="106"/>
      <c r="I875" s="107"/>
      <c r="J875" s="131" t="str">
        <f aca="false" t="array" ref="J875:J875">IF(A875="","",ifs(AND(D875=1,H875="Pagas prorrateadas"),2705.41*(F875*G875),AND(D875=1,H875="Pagas no prorrateadas"),2318.93*(F875*G875),AND(D875=2,H875="Pagas prorrateadas"),2246.07*(F875*G875),AND(D875=2,H875="Pagas no prorrateadas"),1925.21*(F875*G875),AND(D875=3,H875="Pagas prorrateadas"),1775.44*(F875*G875),AND(D875=3,H875="Pagas no prorrateadas"),1521.81*(F875*G875),AND(D875=5,H875="Pagas prorrateadas"),1535.9*(F875*G875),AND(D875=5,H875="Pagas no prorrateadas"),1316.49*(F875*G875),AND(D875=7,H875="Pagas prorrateadas"),1493.61*(F875*G875),AND(D875=7,H875="Pagas no prorrateadas"),1280.24*(F875*G875)))</f>
        <v/>
      </c>
      <c r="K875" s="106" t="str">
        <f aca="false">IF(A875="","",IF(J875-I875&gt;=0,"OK",J875-I875))</f>
        <v/>
      </c>
    </row>
    <row r="876" customFormat="false" ht="14.25" hidden="false" customHeight="true" outlineLevel="0" collapsed="false">
      <c r="A876" s="106"/>
      <c r="B876" s="106"/>
      <c r="C876" s="107"/>
      <c r="D876" s="106"/>
      <c r="E876" s="106"/>
      <c r="F876" s="130" t="str">
        <f aca="false">IF(A876="","",MIN(E876/(37.5),1))</f>
        <v/>
      </c>
      <c r="G876" s="108"/>
      <c r="H876" s="106"/>
      <c r="I876" s="107"/>
      <c r="J876" s="131" t="str">
        <f aca="false" t="array" ref="J876:J876">IF(A876="","",ifs(AND(D876=1,H876="Pagas prorrateadas"),2705.41*(F876*G876),AND(D876=1,H876="Pagas no prorrateadas"),2318.93*(F876*G876),AND(D876=2,H876="Pagas prorrateadas"),2246.07*(F876*G876),AND(D876=2,H876="Pagas no prorrateadas"),1925.21*(F876*G876),AND(D876=3,H876="Pagas prorrateadas"),1775.44*(F876*G876),AND(D876=3,H876="Pagas no prorrateadas"),1521.81*(F876*G876),AND(D876=5,H876="Pagas prorrateadas"),1535.9*(F876*G876),AND(D876=5,H876="Pagas no prorrateadas"),1316.49*(F876*G876),AND(D876=7,H876="Pagas prorrateadas"),1493.61*(F876*G876),AND(D876=7,H876="Pagas no prorrateadas"),1280.24*(F876*G876)))</f>
        <v/>
      </c>
      <c r="K876" s="106" t="str">
        <f aca="false">IF(A876="","",IF(J876-I876&gt;=0,"OK",J876-I876))</f>
        <v/>
      </c>
    </row>
    <row r="877" customFormat="false" ht="14.25" hidden="false" customHeight="true" outlineLevel="0" collapsed="false">
      <c r="A877" s="106"/>
      <c r="B877" s="106"/>
      <c r="C877" s="107"/>
      <c r="D877" s="106"/>
      <c r="E877" s="106"/>
      <c r="F877" s="130" t="str">
        <f aca="false">IF(A877="","",MIN(E877/(37.5),1))</f>
        <v/>
      </c>
      <c r="G877" s="108"/>
      <c r="H877" s="106"/>
      <c r="I877" s="107"/>
      <c r="J877" s="131" t="str">
        <f aca="false" t="array" ref="J877:J877">IF(A877="","",ifs(AND(D877=1,H877="Pagas prorrateadas"),2705.41*(F877*G877),AND(D877=1,H877="Pagas no prorrateadas"),2318.93*(F877*G877),AND(D877=2,H877="Pagas prorrateadas"),2246.07*(F877*G877),AND(D877=2,H877="Pagas no prorrateadas"),1925.21*(F877*G877),AND(D877=3,H877="Pagas prorrateadas"),1775.44*(F877*G877),AND(D877=3,H877="Pagas no prorrateadas"),1521.81*(F877*G877),AND(D877=5,H877="Pagas prorrateadas"),1535.9*(F877*G877),AND(D877=5,H877="Pagas no prorrateadas"),1316.49*(F877*G877),AND(D877=7,H877="Pagas prorrateadas"),1493.61*(F877*G877),AND(D877=7,H877="Pagas no prorrateadas"),1280.24*(F877*G877)))</f>
        <v/>
      </c>
      <c r="K877" s="106" t="str">
        <f aca="false">IF(A877="","",IF(J877-I877&gt;=0,"OK",J877-I877))</f>
        <v/>
      </c>
    </row>
    <row r="878" customFormat="false" ht="14.25" hidden="false" customHeight="true" outlineLevel="0" collapsed="false">
      <c r="A878" s="106"/>
      <c r="B878" s="106"/>
      <c r="C878" s="107"/>
      <c r="D878" s="106"/>
      <c r="E878" s="106"/>
      <c r="F878" s="130" t="str">
        <f aca="false">IF(A878="","",MIN(E878/(37.5),1))</f>
        <v/>
      </c>
      <c r="G878" s="108"/>
      <c r="H878" s="106"/>
      <c r="I878" s="107"/>
      <c r="J878" s="131" t="str">
        <f aca="false" t="array" ref="J878:J878">IF(A878="","",ifs(AND(D878=1,H878="Pagas prorrateadas"),2705.41*(F878*G878),AND(D878=1,H878="Pagas no prorrateadas"),2318.93*(F878*G878),AND(D878=2,H878="Pagas prorrateadas"),2246.07*(F878*G878),AND(D878=2,H878="Pagas no prorrateadas"),1925.21*(F878*G878),AND(D878=3,H878="Pagas prorrateadas"),1775.44*(F878*G878),AND(D878=3,H878="Pagas no prorrateadas"),1521.81*(F878*G878),AND(D878=5,H878="Pagas prorrateadas"),1535.9*(F878*G878),AND(D878=5,H878="Pagas no prorrateadas"),1316.49*(F878*G878),AND(D878=7,H878="Pagas prorrateadas"),1493.61*(F878*G878),AND(D878=7,H878="Pagas no prorrateadas"),1280.24*(F878*G878)))</f>
        <v/>
      </c>
      <c r="K878" s="106" t="str">
        <f aca="false">IF(A878="","",IF(J878-I878&gt;=0,"OK",J878-I878))</f>
        <v/>
      </c>
    </row>
    <row r="879" customFormat="false" ht="14.25" hidden="false" customHeight="true" outlineLevel="0" collapsed="false">
      <c r="A879" s="106"/>
      <c r="B879" s="106"/>
      <c r="C879" s="107"/>
      <c r="D879" s="106"/>
      <c r="E879" s="106"/>
      <c r="F879" s="130" t="str">
        <f aca="false">IF(A879="","",MIN(E879/(37.5),1))</f>
        <v/>
      </c>
      <c r="G879" s="108"/>
      <c r="H879" s="106"/>
      <c r="I879" s="107"/>
      <c r="J879" s="131" t="str">
        <f aca="false" t="array" ref="J879:J879">IF(A879="","",ifs(AND(D879=1,H879="Pagas prorrateadas"),2705.41*(F879*G879),AND(D879=1,H879="Pagas no prorrateadas"),2318.93*(F879*G879),AND(D879=2,H879="Pagas prorrateadas"),2246.07*(F879*G879),AND(D879=2,H879="Pagas no prorrateadas"),1925.21*(F879*G879),AND(D879=3,H879="Pagas prorrateadas"),1775.44*(F879*G879),AND(D879=3,H879="Pagas no prorrateadas"),1521.81*(F879*G879),AND(D879=5,H879="Pagas prorrateadas"),1535.9*(F879*G879),AND(D879=5,H879="Pagas no prorrateadas"),1316.49*(F879*G879),AND(D879=7,H879="Pagas prorrateadas"),1493.61*(F879*G879),AND(D879=7,H879="Pagas no prorrateadas"),1280.24*(F879*G879)))</f>
        <v/>
      </c>
      <c r="K879" s="106" t="str">
        <f aca="false">IF(A879="","",IF(J879-I879&gt;=0,"OK",J879-I879))</f>
        <v/>
      </c>
    </row>
    <row r="880" customFormat="false" ht="14.25" hidden="false" customHeight="true" outlineLevel="0" collapsed="false">
      <c r="A880" s="106"/>
      <c r="B880" s="106"/>
      <c r="C880" s="107"/>
      <c r="D880" s="106"/>
      <c r="E880" s="106"/>
      <c r="F880" s="130" t="str">
        <f aca="false">IF(A880="","",MIN(E880/(37.5),1))</f>
        <v/>
      </c>
      <c r="G880" s="108"/>
      <c r="H880" s="106"/>
      <c r="I880" s="107"/>
      <c r="J880" s="131" t="str">
        <f aca="false" t="array" ref="J880:J880">IF(A880="","",ifs(AND(D880=1,H880="Pagas prorrateadas"),2705.41*(F880*G880),AND(D880=1,H880="Pagas no prorrateadas"),2318.93*(F880*G880),AND(D880=2,H880="Pagas prorrateadas"),2246.07*(F880*G880),AND(D880=2,H880="Pagas no prorrateadas"),1925.21*(F880*G880),AND(D880=3,H880="Pagas prorrateadas"),1775.44*(F880*G880),AND(D880=3,H880="Pagas no prorrateadas"),1521.81*(F880*G880),AND(D880=5,H880="Pagas prorrateadas"),1535.9*(F880*G880),AND(D880=5,H880="Pagas no prorrateadas"),1316.49*(F880*G880),AND(D880=7,H880="Pagas prorrateadas"),1493.61*(F880*G880),AND(D880=7,H880="Pagas no prorrateadas"),1280.24*(F880*G880)))</f>
        <v/>
      </c>
      <c r="K880" s="106" t="str">
        <f aca="false">IF(A880="","",IF(J880-I880&gt;=0,"OK",J880-I880))</f>
        <v/>
      </c>
    </row>
    <row r="881" customFormat="false" ht="14.25" hidden="false" customHeight="true" outlineLevel="0" collapsed="false">
      <c r="A881" s="106"/>
      <c r="B881" s="106"/>
      <c r="C881" s="107"/>
      <c r="D881" s="106"/>
      <c r="E881" s="106"/>
      <c r="F881" s="130" t="str">
        <f aca="false">IF(A881="","",MIN(E881/(37.5),1))</f>
        <v/>
      </c>
      <c r="G881" s="108"/>
      <c r="H881" s="106"/>
      <c r="I881" s="107"/>
      <c r="J881" s="131" t="str">
        <f aca="false" t="array" ref="J881:J881">IF(A881="","",ifs(AND(D881=1,H881="Pagas prorrateadas"),2705.41*(F881*G881),AND(D881=1,H881="Pagas no prorrateadas"),2318.93*(F881*G881),AND(D881=2,H881="Pagas prorrateadas"),2246.07*(F881*G881),AND(D881=2,H881="Pagas no prorrateadas"),1925.21*(F881*G881),AND(D881=3,H881="Pagas prorrateadas"),1775.44*(F881*G881),AND(D881=3,H881="Pagas no prorrateadas"),1521.81*(F881*G881),AND(D881=5,H881="Pagas prorrateadas"),1535.9*(F881*G881),AND(D881=5,H881="Pagas no prorrateadas"),1316.49*(F881*G881),AND(D881=7,H881="Pagas prorrateadas"),1493.61*(F881*G881),AND(D881=7,H881="Pagas no prorrateadas"),1280.24*(F881*G881)))</f>
        <v/>
      </c>
      <c r="K881" s="106" t="str">
        <f aca="false">IF(A881="","",IF(J881-I881&gt;=0,"OK",J881-I881))</f>
        <v/>
      </c>
    </row>
    <row r="882" customFormat="false" ht="14.25" hidden="false" customHeight="true" outlineLevel="0" collapsed="false">
      <c r="A882" s="106"/>
      <c r="B882" s="106"/>
      <c r="C882" s="107"/>
      <c r="D882" s="106"/>
      <c r="E882" s="106"/>
      <c r="F882" s="130" t="str">
        <f aca="false">IF(A882="","",MIN(E882/(37.5),1))</f>
        <v/>
      </c>
      <c r="G882" s="108"/>
      <c r="H882" s="106"/>
      <c r="I882" s="107"/>
      <c r="J882" s="131" t="str">
        <f aca="false" t="array" ref="J882:J882">IF(A882="","",ifs(AND(D882=1,H882="Pagas prorrateadas"),2705.41*(F882*G882),AND(D882=1,H882="Pagas no prorrateadas"),2318.93*(F882*G882),AND(D882=2,H882="Pagas prorrateadas"),2246.07*(F882*G882),AND(D882=2,H882="Pagas no prorrateadas"),1925.21*(F882*G882),AND(D882=3,H882="Pagas prorrateadas"),1775.44*(F882*G882),AND(D882=3,H882="Pagas no prorrateadas"),1521.81*(F882*G882),AND(D882=5,H882="Pagas prorrateadas"),1535.9*(F882*G882),AND(D882=5,H882="Pagas no prorrateadas"),1316.49*(F882*G882),AND(D882=7,H882="Pagas prorrateadas"),1493.61*(F882*G882),AND(D882=7,H882="Pagas no prorrateadas"),1280.24*(F882*G882)))</f>
        <v/>
      </c>
      <c r="K882" s="106" t="str">
        <f aca="false">IF(A882="","",IF(J882-I882&gt;=0,"OK",J882-I882))</f>
        <v/>
      </c>
    </row>
    <row r="883" customFormat="false" ht="14.25" hidden="false" customHeight="true" outlineLevel="0" collapsed="false">
      <c r="A883" s="106"/>
      <c r="B883" s="106"/>
      <c r="C883" s="107"/>
      <c r="D883" s="106"/>
      <c r="E883" s="106"/>
      <c r="F883" s="130" t="str">
        <f aca="false">IF(A883="","",MIN(E883/(37.5),1))</f>
        <v/>
      </c>
      <c r="G883" s="108"/>
      <c r="H883" s="106"/>
      <c r="I883" s="107"/>
      <c r="J883" s="131" t="str">
        <f aca="false" t="array" ref="J883:J883">IF(A883="","",ifs(AND(D883=1,H883="Pagas prorrateadas"),2705.41*(F883*G883),AND(D883=1,H883="Pagas no prorrateadas"),2318.93*(F883*G883),AND(D883=2,H883="Pagas prorrateadas"),2246.07*(F883*G883),AND(D883=2,H883="Pagas no prorrateadas"),1925.21*(F883*G883),AND(D883=3,H883="Pagas prorrateadas"),1775.44*(F883*G883),AND(D883=3,H883="Pagas no prorrateadas"),1521.81*(F883*G883),AND(D883=5,H883="Pagas prorrateadas"),1535.9*(F883*G883),AND(D883=5,H883="Pagas no prorrateadas"),1316.49*(F883*G883),AND(D883=7,H883="Pagas prorrateadas"),1493.61*(F883*G883),AND(D883=7,H883="Pagas no prorrateadas"),1280.24*(F883*G883)))</f>
        <v/>
      </c>
      <c r="K883" s="106" t="str">
        <f aca="false">IF(A883="","",IF(J883-I883&gt;=0,"OK",J883-I883))</f>
        <v/>
      </c>
    </row>
    <row r="884" customFormat="false" ht="14.25" hidden="false" customHeight="true" outlineLevel="0" collapsed="false">
      <c r="A884" s="106"/>
      <c r="B884" s="106"/>
      <c r="C884" s="107"/>
      <c r="D884" s="106"/>
      <c r="E884" s="106"/>
      <c r="F884" s="130" t="str">
        <f aca="false">IF(A884="","",MIN(E884/(37.5),1))</f>
        <v/>
      </c>
      <c r="G884" s="108"/>
      <c r="H884" s="106"/>
      <c r="I884" s="107"/>
      <c r="J884" s="131" t="str">
        <f aca="false" t="array" ref="J884:J884">IF(A884="","",ifs(AND(D884=1,H884="Pagas prorrateadas"),2705.41*(F884*G884),AND(D884=1,H884="Pagas no prorrateadas"),2318.93*(F884*G884),AND(D884=2,H884="Pagas prorrateadas"),2246.07*(F884*G884),AND(D884=2,H884="Pagas no prorrateadas"),1925.21*(F884*G884),AND(D884=3,H884="Pagas prorrateadas"),1775.44*(F884*G884),AND(D884=3,H884="Pagas no prorrateadas"),1521.81*(F884*G884),AND(D884=5,H884="Pagas prorrateadas"),1535.9*(F884*G884),AND(D884=5,H884="Pagas no prorrateadas"),1316.49*(F884*G884),AND(D884=7,H884="Pagas prorrateadas"),1493.61*(F884*G884),AND(D884=7,H884="Pagas no prorrateadas"),1280.24*(F884*G884)))</f>
        <v/>
      </c>
      <c r="K884" s="106" t="str">
        <f aca="false">IF(A884="","",IF(J884-I884&gt;=0,"OK",J884-I884))</f>
        <v/>
      </c>
    </row>
    <row r="885" customFormat="false" ht="14.25" hidden="false" customHeight="true" outlineLevel="0" collapsed="false">
      <c r="A885" s="106"/>
      <c r="B885" s="106"/>
      <c r="C885" s="107"/>
      <c r="D885" s="106"/>
      <c r="E885" s="106"/>
      <c r="F885" s="130" t="str">
        <f aca="false">IF(A885="","",MIN(E885/(37.5),1))</f>
        <v/>
      </c>
      <c r="G885" s="108"/>
      <c r="H885" s="106"/>
      <c r="I885" s="107"/>
      <c r="J885" s="131" t="str">
        <f aca="false" t="array" ref="J885:J885">IF(A885="","",ifs(AND(D885=1,H885="Pagas prorrateadas"),2705.41*(F885*G885),AND(D885=1,H885="Pagas no prorrateadas"),2318.93*(F885*G885),AND(D885=2,H885="Pagas prorrateadas"),2246.07*(F885*G885),AND(D885=2,H885="Pagas no prorrateadas"),1925.21*(F885*G885),AND(D885=3,H885="Pagas prorrateadas"),1775.44*(F885*G885),AND(D885=3,H885="Pagas no prorrateadas"),1521.81*(F885*G885),AND(D885=5,H885="Pagas prorrateadas"),1535.9*(F885*G885),AND(D885=5,H885="Pagas no prorrateadas"),1316.49*(F885*G885),AND(D885=7,H885="Pagas prorrateadas"),1493.61*(F885*G885),AND(D885=7,H885="Pagas no prorrateadas"),1280.24*(F885*G885)))</f>
        <v/>
      </c>
      <c r="K885" s="106" t="str">
        <f aca="false">IF(A885="","",IF(J885-I885&gt;=0,"OK",J885-I885))</f>
        <v/>
      </c>
    </row>
    <row r="886" customFormat="false" ht="14.25" hidden="false" customHeight="true" outlineLevel="0" collapsed="false">
      <c r="A886" s="106"/>
      <c r="B886" s="106"/>
      <c r="C886" s="107"/>
      <c r="D886" s="106"/>
      <c r="E886" s="106"/>
      <c r="F886" s="130" t="str">
        <f aca="false">IF(A886="","",MIN(E886/(37.5),1))</f>
        <v/>
      </c>
      <c r="G886" s="108"/>
      <c r="H886" s="106"/>
      <c r="I886" s="107"/>
      <c r="J886" s="131" t="str">
        <f aca="false" t="array" ref="J886:J886">IF(A886="","",ifs(AND(D886=1,H886="Pagas prorrateadas"),2705.41*(F886*G886),AND(D886=1,H886="Pagas no prorrateadas"),2318.93*(F886*G886),AND(D886=2,H886="Pagas prorrateadas"),2246.07*(F886*G886),AND(D886=2,H886="Pagas no prorrateadas"),1925.21*(F886*G886),AND(D886=3,H886="Pagas prorrateadas"),1775.44*(F886*G886),AND(D886=3,H886="Pagas no prorrateadas"),1521.81*(F886*G886),AND(D886=5,H886="Pagas prorrateadas"),1535.9*(F886*G886),AND(D886=5,H886="Pagas no prorrateadas"),1316.49*(F886*G886),AND(D886=7,H886="Pagas prorrateadas"),1493.61*(F886*G886),AND(D886=7,H886="Pagas no prorrateadas"),1280.24*(F886*G886)))</f>
        <v/>
      </c>
      <c r="K886" s="106" t="str">
        <f aca="false">IF(A886="","",IF(J886-I886&gt;=0,"OK",J886-I886))</f>
        <v/>
      </c>
    </row>
    <row r="887" customFormat="false" ht="14.25" hidden="false" customHeight="true" outlineLevel="0" collapsed="false">
      <c r="A887" s="106"/>
      <c r="B887" s="106"/>
      <c r="C887" s="107"/>
      <c r="D887" s="106"/>
      <c r="E887" s="106"/>
      <c r="F887" s="130" t="str">
        <f aca="false">IF(A887="","",MIN(E887/(37.5),1))</f>
        <v/>
      </c>
      <c r="G887" s="108"/>
      <c r="H887" s="106"/>
      <c r="I887" s="107"/>
      <c r="J887" s="131" t="str">
        <f aca="false" t="array" ref="J887:J887">IF(A887="","",ifs(AND(D887=1,H887="Pagas prorrateadas"),2705.41*(F887*G887),AND(D887=1,H887="Pagas no prorrateadas"),2318.93*(F887*G887),AND(D887=2,H887="Pagas prorrateadas"),2246.07*(F887*G887),AND(D887=2,H887="Pagas no prorrateadas"),1925.21*(F887*G887),AND(D887=3,H887="Pagas prorrateadas"),1775.44*(F887*G887),AND(D887=3,H887="Pagas no prorrateadas"),1521.81*(F887*G887),AND(D887=5,H887="Pagas prorrateadas"),1535.9*(F887*G887),AND(D887=5,H887="Pagas no prorrateadas"),1316.49*(F887*G887),AND(D887=7,H887="Pagas prorrateadas"),1493.61*(F887*G887),AND(D887=7,H887="Pagas no prorrateadas"),1280.24*(F887*G887)))</f>
        <v/>
      </c>
      <c r="K887" s="106" t="str">
        <f aca="false">IF(A887="","",IF(J887-I887&gt;=0,"OK",J887-I887))</f>
        <v/>
      </c>
    </row>
    <row r="888" customFormat="false" ht="14.25" hidden="false" customHeight="true" outlineLevel="0" collapsed="false">
      <c r="A888" s="106"/>
      <c r="B888" s="106"/>
      <c r="C888" s="107"/>
      <c r="D888" s="106"/>
      <c r="E888" s="106"/>
      <c r="F888" s="130" t="str">
        <f aca="false">IF(A888="","",MIN(E888/(37.5),1))</f>
        <v/>
      </c>
      <c r="G888" s="108"/>
      <c r="H888" s="106"/>
      <c r="I888" s="107"/>
      <c r="J888" s="131" t="str">
        <f aca="false" t="array" ref="J888:J888">IF(A888="","",ifs(AND(D888=1,H888="Pagas prorrateadas"),2705.41*(F888*G888),AND(D888=1,H888="Pagas no prorrateadas"),2318.93*(F888*G888),AND(D888=2,H888="Pagas prorrateadas"),2246.07*(F888*G888),AND(D888=2,H888="Pagas no prorrateadas"),1925.21*(F888*G888),AND(D888=3,H888="Pagas prorrateadas"),1775.44*(F888*G888),AND(D888=3,H888="Pagas no prorrateadas"),1521.81*(F888*G888),AND(D888=5,H888="Pagas prorrateadas"),1535.9*(F888*G888),AND(D888=5,H888="Pagas no prorrateadas"),1316.49*(F888*G888),AND(D888=7,H888="Pagas prorrateadas"),1493.61*(F888*G888),AND(D888=7,H888="Pagas no prorrateadas"),1280.24*(F888*G888)))</f>
        <v/>
      </c>
      <c r="K888" s="106" t="str">
        <f aca="false">IF(A888="","",IF(J888-I888&gt;=0,"OK",J888-I888))</f>
        <v/>
      </c>
    </row>
    <row r="889" customFormat="false" ht="14.25" hidden="false" customHeight="true" outlineLevel="0" collapsed="false">
      <c r="A889" s="106"/>
      <c r="B889" s="106"/>
      <c r="C889" s="107"/>
      <c r="D889" s="106"/>
      <c r="E889" s="106"/>
      <c r="F889" s="130" t="str">
        <f aca="false">IF(A889="","",MIN(E889/(37.5),1))</f>
        <v/>
      </c>
      <c r="G889" s="108"/>
      <c r="H889" s="106"/>
      <c r="I889" s="107"/>
      <c r="J889" s="131" t="str">
        <f aca="false" t="array" ref="J889:J889">IF(A889="","",ifs(AND(D889=1,H889="Pagas prorrateadas"),2705.41*(F889*G889),AND(D889=1,H889="Pagas no prorrateadas"),2318.93*(F889*G889),AND(D889=2,H889="Pagas prorrateadas"),2246.07*(F889*G889),AND(D889=2,H889="Pagas no prorrateadas"),1925.21*(F889*G889),AND(D889=3,H889="Pagas prorrateadas"),1775.44*(F889*G889),AND(D889=3,H889="Pagas no prorrateadas"),1521.81*(F889*G889),AND(D889=5,H889="Pagas prorrateadas"),1535.9*(F889*G889),AND(D889=5,H889="Pagas no prorrateadas"),1316.49*(F889*G889),AND(D889=7,H889="Pagas prorrateadas"),1493.61*(F889*G889),AND(D889=7,H889="Pagas no prorrateadas"),1280.24*(F889*G889)))</f>
        <v/>
      </c>
      <c r="K889" s="106" t="str">
        <f aca="false">IF(A889="","",IF(J889-I889&gt;=0,"OK",J889-I889))</f>
        <v/>
      </c>
    </row>
    <row r="890" customFormat="false" ht="14.25" hidden="false" customHeight="true" outlineLevel="0" collapsed="false">
      <c r="A890" s="106"/>
      <c r="B890" s="106"/>
      <c r="C890" s="107"/>
      <c r="D890" s="106"/>
      <c r="E890" s="106"/>
      <c r="F890" s="130" t="str">
        <f aca="false">IF(A890="","",MIN(E890/(37.5),1))</f>
        <v/>
      </c>
      <c r="G890" s="108"/>
      <c r="H890" s="106"/>
      <c r="I890" s="107"/>
      <c r="J890" s="131" t="str">
        <f aca="false" t="array" ref="J890:J890">IF(A890="","",ifs(AND(D890=1,H890="Pagas prorrateadas"),2705.41*(F890*G890),AND(D890=1,H890="Pagas no prorrateadas"),2318.93*(F890*G890),AND(D890=2,H890="Pagas prorrateadas"),2246.07*(F890*G890),AND(D890=2,H890="Pagas no prorrateadas"),1925.21*(F890*G890),AND(D890=3,H890="Pagas prorrateadas"),1775.44*(F890*G890),AND(D890=3,H890="Pagas no prorrateadas"),1521.81*(F890*G890),AND(D890=5,H890="Pagas prorrateadas"),1535.9*(F890*G890),AND(D890=5,H890="Pagas no prorrateadas"),1316.49*(F890*G890),AND(D890=7,H890="Pagas prorrateadas"),1493.61*(F890*G890),AND(D890=7,H890="Pagas no prorrateadas"),1280.24*(F890*G890)))</f>
        <v/>
      </c>
      <c r="K890" s="106" t="str">
        <f aca="false">IF(A890="","",IF(J890-I890&gt;=0,"OK",J890-I890))</f>
        <v/>
      </c>
    </row>
    <row r="891" customFormat="false" ht="14.25" hidden="false" customHeight="true" outlineLevel="0" collapsed="false">
      <c r="A891" s="106"/>
      <c r="B891" s="106"/>
      <c r="C891" s="107"/>
      <c r="D891" s="106"/>
      <c r="E891" s="106"/>
      <c r="F891" s="130" t="str">
        <f aca="false">IF(A891="","",MIN(E891/(37.5),1))</f>
        <v/>
      </c>
      <c r="G891" s="108"/>
      <c r="H891" s="106"/>
      <c r="I891" s="107"/>
      <c r="J891" s="131" t="str">
        <f aca="false" t="array" ref="J891:J891">IF(A891="","",ifs(AND(D891=1,H891="Pagas prorrateadas"),2705.41*(F891*G891),AND(D891=1,H891="Pagas no prorrateadas"),2318.93*(F891*G891),AND(D891=2,H891="Pagas prorrateadas"),2246.07*(F891*G891),AND(D891=2,H891="Pagas no prorrateadas"),1925.21*(F891*G891),AND(D891=3,H891="Pagas prorrateadas"),1775.44*(F891*G891),AND(D891=3,H891="Pagas no prorrateadas"),1521.81*(F891*G891),AND(D891=5,H891="Pagas prorrateadas"),1535.9*(F891*G891),AND(D891=5,H891="Pagas no prorrateadas"),1316.49*(F891*G891),AND(D891=7,H891="Pagas prorrateadas"),1493.61*(F891*G891),AND(D891=7,H891="Pagas no prorrateadas"),1280.24*(F891*G891)))</f>
        <v/>
      </c>
      <c r="K891" s="106" t="str">
        <f aca="false">IF(A891="","",IF(J891-I891&gt;=0,"OK",J891-I891))</f>
        <v/>
      </c>
    </row>
    <row r="892" customFormat="false" ht="14.25" hidden="false" customHeight="true" outlineLevel="0" collapsed="false">
      <c r="A892" s="106"/>
      <c r="B892" s="106"/>
      <c r="C892" s="107"/>
      <c r="D892" s="106"/>
      <c r="E892" s="106"/>
      <c r="F892" s="130" t="str">
        <f aca="false">IF(A892="","",MIN(E892/(37.5),1))</f>
        <v/>
      </c>
      <c r="G892" s="108"/>
      <c r="H892" s="106"/>
      <c r="I892" s="107"/>
      <c r="J892" s="131" t="str">
        <f aca="false" t="array" ref="J892:J892">IF(A892="","",ifs(AND(D892=1,H892="Pagas prorrateadas"),2705.41*(F892*G892),AND(D892=1,H892="Pagas no prorrateadas"),2318.93*(F892*G892),AND(D892=2,H892="Pagas prorrateadas"),2246.07*(F892*G892),AND(D892=2,H892="Pagas no prorrateadas"),1925.21*(F892*G892),AND(D892=3,H892="Pagas prorrateadas"),1775.44*(F892*G892),AND(D892=3,H892="Pagas no prorrateadas"),1521.81*(F892*G892),AND(D892=5,H892="Pagas prorrateadas"),1535.9*(F892*G892),AND(D892=5,H892="Pagas no prorrateadas"),1316.49*(F892*G892),AND(D892=7,H892="Pagas prorrateadas"),1493.61*(F892*G892),AND(D892=7,H892="Pagas no prorrateadas"),1280.24*(F892*G892)))</f>
        <v/>
      </c>
      <c r="K892" s="106" t="str">
        <f aca="false">IF(A892="","",IF(J892-I892&gt;=0,"OK",J892-I892))</f>
        <v/>
      </c>
    </row>
    <row r="893" customFormat="false" ht="14.25" hidden="false" customHeight="true" outlineLevel="0" collapsed="false">
      <c r="A893" s="106"/>
      <c r="B893" s="106"/>
      <c r="C893" s="107"/>
      <c r="D893" s="106"/>
      <c r="E893" s="106"/>
      <c r="F893" s="130" t="str">
        <f aca="false">IF(A893="","",MIN(E893/(37.5),1))</f>
        <v/>
      </c>
      <c r="G893" s="108"/>
      <c r="H893" s="106"/>
      <c r="I893" s="107"/>
      <c r="J893" s="131" t="str">
        <f aca="false" t="array" ref="J893:J893">IF(A893="","",ifs(AND(D893=1,H893="Pagas prorrateadas"),2705.41*(F893*G893),AND(D893=1,H893="Pagas no prorrateadas"),2318.93*(F893*G893),AND(D893=2,H893="Pagas prorrateadas"),2246.07*(F893*G893),AND(D893=2,H893="Pagas no prorrateadas"),1925.21*(F893*G893),AND(D893=3,H893="Pagas prorrateadas"),1775.44*(F893*G893),AND(D893=3,H893="Pagas no prorrateadas"),1521.81*(F893*G893),AND(D893=5,H893="Pagas prorrateadas"),1535.9*(F893*G893),AND(D893=5,H893="Pagas no prorrateadas"),1316.49*(F893*G893),AND(D893=7,H893="Pagas prorrateadas"),1493.61*(F893*G893),AND(D893=7,H893="Pagas no prorrateadas"),1280.24*(F893*G893)))</f>
        <v/>
      </c>
      <c r="K893" s="106" t="str">
        <f aca="false">IF(A893="","",IF(J893-I893&gt;=0,"OK",J893-I893))</f>
        <v/>
      </c>
    </row>
    <row r="894" customFormat="false" ht="14.25" hidden="false" customHeight="true" outlineLevel="0" collapsed="false">
      <c r="A894" s="106"/>
      <c r="B894" s="106"/>
      <c r="C894" s="107"/>
      <c r="D894" s="106"/>
      <c r="E894" s="106"/>
      <c r="F894" s="130" t="str">
        <f aca="false">IF(A894="","",MIN(E894/(37.5),1))</f>
        <v/>
      </c>
      <c r="G894" s="108"/>
      <c r="H894" s="106"/>
      <c r="I894" s="107"/>
      <c r="J894" s="131" t="str">
        <f aca="false" t="array" ref="J894:J894">IF(A894="","",ifs(AND(D894=1,H894="Pagas prorrateadas"),2705.41*(F894*G894),AND(D894=1,H894="Pagas no prorrateadas"),2318.93*(F894*G894),AND(D894=2,H894="Pagas prorrateadas"),2246.07*(F894*G894),AND(D894=2,H894="Pagas no prorrateadas"),1925.21*(F894*G894),AND(D894=3,H894="Pagas prorrateadas"),1775.44*(F894*G894),AND(D894=3,H894="Pagas no prorrateadas"),1521.81*(F894*G894),AND(D894=5,H894="Pagas prorrateadas"),1535.9*(F894*G894),AND(D894=5,H894="Pagas no prorrateadas"),1316.49*(F894*G894),AND(D894=7,H894="Pagas prorrateadas"),1493.61*(F894*G894),AND(D894=7,H894="Pagas no prorrateadas"),1280.24*(F894*G894)))</f>
        <v/>
      </c>
      <c r="K894" s="106" t="str">
        <f aca="false">IF(A894="","",IF(J894-I894&gt;=0,"OK",J894-I894))</f>
        <v/>
      </c>
    </row>
    <row r="895" customFormat="false" ht="14.25" hidden="false" customHeight="true" outlineLevel="0" collapsed="false">
      <c r="A895" s="106"/>
      <c r="B895" s="106"/>
      <c r="C895" s="107"/>
      <c r="D895" s="106"/>
      <c r="E895" s="106"/>
      <c r="F895" s="130" t="str">
        <f aca="false">IF(A895="","",MIN(E895/(37.5),1))</f>
        <v/>
      </c>
      <c r="G895" s="108"/>
      <c r="H895" s="106"/>
      <c r="I895" s="107"/>
      <c r="J895" s="131" t="str">
        <f aca="false" t="array" ref="J895:J895">IF(A895="","",ifs(AND(D895=1,H895="Pagas prorrateadas"),2705.41*(F895*G895),AND(D895=1,H895="Pagas no prorrateadas"),2318.93*(F895*G895),AND(D895=2,H895="Pagas prorrateadas"),2246.07*(F895*G895),AND(D895=2,H895="Pagas no prorrateadas"),1925.21*(F895*G895),AND(D895=3,H895="Pagas prorrateadas"),1775.44*(F895*G895),AND(D895=3,H895="Pagas no prorrateadas"),1521.81*(F895*G895),AND(D895=5,H895="Pagas prorrateadas"),1535.9*(F895*G895),AND(D895=5,H895="Pagas no prorrateadas"),1316.49*(F895*G895),AND(D895=7,H895="Pagas prorrateadas"),1493.61*(F895*G895),AND(D895=7,H895="Pagas no prorrateadas"),1280.24*(F895*G895)))</f>
        <v/>
      </c>
      <c r="K895" s="106" t="str">
        <f aca="false">IF(A895="","",IF(J895-I895&gt;=0,"OK",J895-I895))</f>
        <v/>
      </c>
    </row>
    <row r="896" customFormat="false" ht="14.25" hidden="false" customHeight="true" outlineLevel="0" collapsed="false">
      <c r="A896" s="106"/>
      <c r="B896" s="106"/>
      <c r="C896" s="107"/>
      <c r="D896" s="106"/>
      <c r="E896" s="106"/>
      <c r="F896" s="130" t="str">
        <f aca="false">IF(A896="","",MIN(E896/(37.5),1))</f>
        <v/>
      </c>
      <c r="G896" s="108"/>
      <c r="H896" s="106"/>
      <c r="I896" s="107"/>
      <c r="J896" s="131" t="str">
        <f aca="false" t="array" ref="J896:J896">IF(A896="","",ifs(AND(D896=1,H896="Pagas prorrateadas"),2705.41*(F896*G896),AND(D896=1,H896="Pagas no prorrateadas"),2318.93*(F896*G896),AND(D896=2,H896="Pagas prorrateadas"),2246.07*(F896*G896),AND(D896=2,H896="Pagas no prorrateadas"),1925.21*(F896*G896),AND(D896=3,H896="Pagas prorrateadas"),1775.44*(F896*G896),AND(D896=3,H896="Pagas no prorrateadas"),1521.81*(F896*G896),AND(D896=5,H896="Pagas prorrateadas"),1535.9*(F896*G896),AND(D896=5,H896="Pagas no prorrateadas"),1316.49*(F896*G896),AND(D896=7,H896="Pagas prorrateadas"),1493.61*(F896*G896),AND(D896=7,H896="Pagas no prorrateadas"),1280.24*(F896*G896)))</f>
        <v/>
      </c>
      <c r="K896" s="106" t="str">
        <f aca="false">IF(A896="","",IF(J896-I896&gt;=0,"OK",J896-I896))</f>
        <v/>
      </c>
    </row>
    <row r="897" customFormat="false" ht="14.25" hidden="false" customHeight="true" outlineLevel="0" collapsed="false">
      <c r="A897" s="106"/>
      <c r="B897" s="106"/>
      <c r="C897" s="107"/>
      <c r="D897" s="106"/>
      <c r="E897" s="106"/>
      <c r="F897" s="130" t="str">
        <f aca="false">IF(A897="","",MIN(E897/(37.5),1))</f>
        <v/>
      </c>
      <c r="G897" s="108"/>
      <c r="H897" s="106"/>
      <c r="I897" s="107"/>
      <c r="J897" s="131" t="str">
        <f aca="false" t="array" ref="J897:J897">IF(A897="","",ifs(AND(D897=1,H897="Pagas prorrateadas"),2705.41*(F897*G897),AND(D897=1,H897="Pagas no prorrateadas"),2318.93*(F897*G897),AND(D897=2,H897="Pagas prorrateadas"),2246.07*(F897*G897),AND(D897=2,H897="Pagas no prorrateadas"),1925.21*(F897*G897),AND(D897=3,H897="Pagas prorrateadas"),1775.44*(F897*G897),AND(D897=3,H897="Pagas no prorrateadas"),1521.81*(F897*G897),AND(D897=5,H897="Pagas prorrateadas"),1535.9*(F897*G897),AND(D897=5,H897="Pagas no prorrateadas"),1316.49*(F897*G897),AND(D897=7,H897="Pagas prorrateadas"),1493.61*(F897*G897),AND(D897=7,H897="Pagas no prorrateadas"),1280.24*(F897*G897)))</f>
        <v/>
      </c>
      <c r="K897" s="106" t="str">
        <f aca="false">IF(A897="","",IF(J897-I897&gt;=0,"OK",J897-I897))</f>
        <v/>
      </c>
    </row>
    <row r="898" customFormat="false" ht="14.25" hidden="false" customHeight="true" outlineLevel="0" collapsed="false">
      <c r="A898" s="106"/>
      <c r="B898" s="106"/>
      <c r="C898" s="107"/>
      <c r="D898" s="106"/>
      <c r="E898" s="106"/>
      <c r="F898" s="130" t="str">
        <f aca="false">IF(A898="","",MIN(E898/(37.5),1))</f>
        <v/>
      </c>
      <c r="G898" s="108"/>
      <c r="H898" s="106"/>
      <c r="I898" s="107"/>
      <c r="J898" s="131" t="str">
        <f aca="false" t="array" ref="J898:J898">IF(A898="","",ifs(AND(D898=1,H898="Pagas prorrateadas"),2705.41*(F898*G898),AND(D898=1,H898="Pagas no prorrateadas"),2318.93*(F898*G898),AND(D898=2,H898="Pagas prorrateadas"),2246.07*(F898*G898),AND(D898=2,H898="Pagas no prorrateadas"),1925.21*(F898*G898),AND(D898=3,H898="Pagas prorrateadas"),1775.44*(F898*G898),AND(D898=3,H898="Pagas no prorrateadas"),1521.81*(F898*G898),AND(D898=5,H898="Pagas prorrateadas"),1535.9*(F898*G898),AND(D898=5,H898="Pagas no prorrateadas"),1316.49*(F898*G898),AND(D898=7,H898="Pagas prorrateadas"),1493.61*(F898*G898),AND(D898=7,H898="Pagas no prorrateadas"),1280.24*(F898*G898)))</f>
        <v/>
      </c>
      <c r="K898" s="106" t="str">
        <f aca="false">IF(A898="","",IF(J898-I898&gt;=0,"OK",J898-I898))</f>
        <v/>
      </c>
    </row>
    <row r="899" customFormat="false" ht="14.25" hidden="false" customHeight="true" outlineLevel="0" collapsed="false">
      <c r="A899" s="106"/>
      <c r="B899" s="106"/>
      <c r="C899" s="107"/>
      <c r="D899" s="106"/>
      <c r="E899" s="106"/>
      <c r="F899" s="130" t="str">
        <f aca="false">IF(A899="","",MIN(E899/(37.5),1))</f>
        <v/>
      </c>
      <c r="G899" s="108"/>
      <c r="H899" s="106"/>
      <c r="I899" s="107"/>
      <c r="J899" s="131" t="str">
        <f aca="false" t="array" ref="J899:J899">IF(A899="","",ifs(AND(D899=1,H899="Pagas prorrateadas"),2705.41*(F899*G899),AND(D899=1,H899="Pagas no prorrateadas"),2318.93*(F899*G899),AND(D899=2,H899="Pagas prorrateadas"),2246.07*(F899*G899),AND(D899=2,H899="Pagas no prorrateadas"),1925.21*(F899*G899),AND(D899=3,H899="Pagas prorrateadas"),1775.44*(F899*G899),AND(D899=3,H899="Pagas no prorrateadas"),1521.81*(F899*G899),AND(D899=5,H899="Pagas prorrateadas"),1535.9*(F899*G899),AND(D899=5,H899="Pagas no prorrateadas"),1316.49*(F899*G899),AND(D899=7,H899="Pagas prorrateadas"),1493.61*(F899*G899),AND(D899=7,H899="Pagas no prorrateadas"),1280.24*(F899*G899)))</f>
        <v/>
      </c>
      <c r="K899" s="106" t="str">
        <f aca="false">IF(A899="","",IF(J899-I899&gt;=0,"OK",J899-I899))</f>
        <v/>
      </c>
    </row>
    <row r="900" customFormat="false" ht="14.25" hidden="false" customHeight="true" outlineLevel="0" collapsed="false">
      <c r="A900" s="106"/>
      <c r="B900" s="106"/>
      <c r="C900" s="107"/>
      <c r="D900" s="106"/>
      <c r="E900" s="106"/>
      <c r="F900" s="130" t="str">
        <f aca="false">IF(A900="","",MIN(E900/(37.5),1))</f>
        <v/>
      </c>
      <c r="G900" s="108"/>
      <c r="H900" s="106"/>
      <c r="I900" s="107"/>
      <c r="J900" s="131" t="str">
        <f aca="false" t="array" ref="J900:J900">IF(A900="","",ifs(AND(D900=1,H900="Pagas prorrateadas"),2705.41*(F900*G900),AND(D900=1,H900="Pagas no prorrateadas"),2318.93*(F900*G900),AND(D900=2,H900="Pagas prorrateadas"),2246.07*(F900*G900),AND(D900=2,H900="Pagas no prorrateadas"),1925.21*(F900*G900),AND(D900=3,H900="Pagas prorrateadas"),1775.44*(F900*G900),AND(D900=3,H900="Pagas no prorrateadas"),1521.81*(F900*G900),AND(D900=5,H900="Pagas prorrateadas"),1535.9*(F900*G900),AND(D900=5,H900="Pagas no prorrateadas"),1316.49*(F900*G900),AND(D900=7,H900="Pagas prorrateadas"),1493.61*(F900*G900),AND(D900=7,H900="Pagas no prorrateadas"),1280.24*(F900*G900)))</f>
        <v/>
      </c>
      <c r="K900" s="106" t="str">
        <f aca="false">IF(A900="","",IF(J900-I900&gt;=0,"OK",J900-I900))</f>
        <v/>
      </c>
    </row>
    <row r="901" customFormat="false" ht="14.25" hidden="false" customHeight="true" outlineLevel="0" collapsed="false">
      <c r="A901" s="106"/>
      <c r="B901" s="106"/>
      <c r="C901" s="107"/>
      <c r="D901" s="106"/>
      <c r="E901" s="106"/>
      <c r="F901" s="130" t="str">
        <f aca="false">IF(A901="","",MIN(E901/(37.5),1))</f>
        <v/>
      </c>
      <c r="G901" s="108"/>
      <c r="H901" s="106"/>
      <c r="I901" s="107"/>
      <c r="J901" s="131" t="str">
        <f aca="false" t="array" ref="J901:J901">IF(A901="","",ifs(AND(D901=1,H901="Pagas prorrateadas"),2705.41*(F901*G901),AND(D901=1,H901="Pagas no prorrateadas"),2318.93*(F901*G901),AND(D901=2,H901="Pagas prorrateadas"),2246.07*(F901*G901),AND(D901=2,H901="Pagas no prorrateadas"),1925.21*(F901*G901),AND(D901=3,H901="Pagas prorrateadas"),1775.44*(F901*G901),AND(D901=3,H901="Pagas no prorrateadas"),1521.81*(F901*G901),AND(D901=5,H901="Pagas prorrateadas"),1535.9*(F901*G901),AND(D901=5,H901="Pagas no prorrateadas"),1316.49*(F901*G901),AND(D901=7,H901="Pagas prorrateadas"),1493.61*(F901*G901),AND(D901=7,H901="Pagas no prorrateadas"),1280.24*(F901*G901)))</f>
        <v/>
      </c>
      <c r="K901" s="106" t="str">
        <f aca="false">IF(A901="","",IF(J901-I901&gt;=0,"OK",J901-I901))</f>
        <v/>
      </c>
    </row>
    <row r="902" customFormat="false" ht="14.25" hidden="false" customHeight="true" outlineLevel="0" collapsed="false">
      <c r="A902" s="106"/>
      <c r="B902" s="106"/>
      <c r="C902" s="107"/>
      <c r="D902" s="106"/>
      <c r="E902" s="106"/>
      <c r="F902" s="130" t="str">
        <f aca="false">IF(A902="","",MIN(E902/(37.5),1))</f>
        <v/>
      </c>
      <c r="G902" s="108"/>
      <c r="H902" s="106"/>
      <c r="I902" s="107"/>
      <c r="J902" s="131" t="str">
        <f aca="false" t="array" ref="J902:J902">IF(A902="","",ifs(AND(D902=1,H902="Pagas prorrateadas"),2705.41*(F902*G902),AND(D902=1,H902="Pagas no prorrateadas"),2318.93*(F902*G902),AND(D902=2,H902="Pagas prorrateadas"),2246.07*(F902*G902),AND(D902=2,H902="Pagas no prorrateadas"),1925.21*(F902*G902),AND(D902=3,H902="Pagas prorrateadas"),1775.44*(F902*G902),AND(D902=3,H902="Pagas no prorrateadas"),1521.81*(F902*G902),AND(D902=5,H902="Pagas prorrateadas"),1535.9*(F902*G902),AND(D902=5,H902="Pagas no prorrateadas"),1316.49*(F902*G902),AND(D902=7,H902="Pagas prorrateadas"),1493.61*(F902*G902),AND(D902=7,H902="Pagas no prorrateadas"),1280.24*(F902*G902)))</f>
        <v/>
      </c>
      <c r="K902" s="106" t="str">
        <f aca="false">IF(A902="","",IF(J902-I902&gt;=0,"OK",J902-I902))</f>
        <v/>
      </c>
    </row>
    <row r="903" customFormat="false" ht="14.25" hidden="false" customHeight="true" outlineLevel="0" collapsed="false">
      <c r="A903" s="106"/>
      <c r="B903" s="106"/>
      <c r="C903" s="107"/>
      <c r="D903" s="106"/>
      <c r="E903" s="106"/>
      <c r="F903" s="108"/>
      <c r="G903" s="108"/>
      <c r="H903" s="106"/>
      <c r="I903" s="107"/>
      <c r="J903" s="131" t="str">
        <f aca="false" t="array" ref="J903:J903">IF(A903="","",ifs(AND(D903=1,H903="Pagas prorrateadas"),2705.41*(F903*G903),AND(D903=1,H903="Pagas no prorrateadas"),2318.93*(F903*G903),AND(D903=2,H903="Pagas prorrateadas"),2246.07*(F903*G903),AND(D903=2,H903="Pagas no prorrateadas"),1925.21*(F903*G903),AND(D903=3,H903="Pagas prorrateadas"),1775.44*(F903*G903),AND(D903=3,H903="Pagas no prorrateadas"),1521.81*(F903*G903),AND(D903=5,H903="Pagas prorrateadas"),1535.9*(F903*G903),AND(D903=5,H903="Pagas no prorrateadas"),1316.49*(F903*G903),AND(D903=7,H903="Pagas prorrateadas"),1493.61*(F903*G903),AND(D903=7,H903="Pagas no prorrateadas"),1280.24*(F903*G903)))</f>
        <v/>
      </c>
      <c r="K903" s="106" t="str">
        <f aca="false">IF(A903="","",IF(J903-I903&gt;=0,"OK",J903-I903))</f>
        <v/>
      </c>
    </row>
    <row r="904" customFormat="false" ht="14.25" hidden="false" customHeight="true" outlineLevel="0" collapsed="false">
      <c r="A904" s="106"/>
      <c r="B904" s="106"/>
      <c r="C904" s="107"/>
      <c r="D904" s="106"/>
      <c r="E904" s="106"/>
      <c r="F904" s="108"/>
      <c r="G904" s="108"/>
      <c r="H904" s="106"/>
      <c r="I904" s="107"/>
      <c r="J904" s="131" t="str">
        <f aca="false" t="array" ref="J904:J904">IF(A904="","",ifs(AND(D904=1,H904="Pagas prorrateadas"),2705.41*(F904*G904),AND(D904=1,H904="Pagas no prorrateadas"),2318.93*(F904*G904),AND(D904=2,H904="Pagas prorrateadas"),2246.07*(F904*G904),AND(D904=2,H904="Pagas no prorrateadas"),1925.21*(F904*G904),AND(D904=3,H904="Pagas prorrateadas"),1775.44*(F904*G904),AND(D904=3,H904="Pagas no prorrateadas"),1521.81*(F904*G904),AND(D904=5,H904="Pagas prorrateadas"),1535.9*(F904*G904),AND(D904=5,H904="Pagas no prorrateadas"),1316.49*(F904*G904),AND(D904=7,H904="Pagas prorrateadas"),1493.61*(F904*G904),AND(D904=7,H904="Pagas no prorrateadas"),1280.24*(F904*G904)))</f>
        <v/>
      </c>
      <c r="K904" s="106" t="str">
        <f aca="false">IF(A904="","",IF(J904-I904&gt;=0,"OK",J904-I904))</f>
        <v/>
      </c>
    </row>
    <row r="905" customFormat="false" ht="14.25" hidden="false" customHeight="true" outlineLevel="0" collapsed="false">
      <c r="A905" s="106"/>
      <c r="B905" s="106"/>
      <c r="C905" s="107"/>
      <c r="D905" s="106"/>
      <c r="E905" s="106"/>
      <c r="F905" s="108"/>
      <c r="G905" s="108"/>
      <c r="H905" s="106"/>
      <c r="I905" s="107"/>
      <c r="J905" s="131" t="str">
        <f aca="false" t="array" ref="J905:J905">IF(A905="","",ifs(AND(D905=1,H905="Pagas prorrateadas"),2705.41*(F905*G905),AND(D905=1,H905="Pagas no prorrateadas"),2318.93*(F905*G905),AND(D905=2,H905="Pagas prorrateadas"),2246.07*(F905*G905),AND(D905=2,H905="Pagas no prorrateadas"),1925.21*(F905*G905),AND(D905=3,H905="Pagas prorrateadas"),1775.44*(F905*G905),AND(D905=3,H905="Pagas no prorrateadas"),1521.81*(F905*G905),AND(D905=5,H905="Pagas prorrateadas"),1535.9*(F905*G905),AND(D905=5,H905="Pagas no prorrateadas"),1316.49*(F905*G905),AND(D905=7,H905="Pagas prorrateadas"),1493.61*(F905*G905),AND(D905=7,H905="Pagas no prorrateadas"),1280.24*(F905*G905)))</f>
        <v/>
      </c>
      <c r="K905" s="106" t="str">
        <f aca="false">IF(A905="","",IF(J905-I905&gt;=0,"OK",J905-I905))</f>
        <v/>
      </c>
    </row>
    <row r="906" customFormat="false" ht="14.25" hidden="false" customHeight="true" outlineLevel="0" collapsed="false">
      <c r="A906" s="106"/>
      <c r="B906" s="106"/>
      <c r="C906" s="107"/>
      <c r="D906" s="106"/>
      <c r="E906" s="106"/>
      <c r="F906" s="108"/>
      <c r="G906" s="108"/>
      <c r="H906" s="106"/>
      <c r="I906" s="107"/>
      <c r="J906" s="131" t="str">
        <f aca="false" t="array" ref="J906:J906">IF(A906="","",ifs(AND(D906=1,H906="Pagas prorrateadas"),2705.41*(F906*G906),AND(D906=1,H906="Pagas no prorrateadas"),2318.93*(F906*G906),AND(D906=2,H906="Pagas prorrateadas"),2246.07*(F906*G906),AND(D906=2,H906="Pagas no prorrateadas"),1925.21*(F906*G906),AND(D906=3,H906="Pagas prorrateadas"),1775.44*(F906*G906),AND(D906=3,H906="Pagas no prorrateadas"),1521.81*(F906*G906),AND(D906=5,H906="Pagas prorrateadas"),1535.9*(F906*G906),AND(D906=5,H906="Pagas no prorrateadas"),1316.49*(F906*G906),AND(D906=7,H906="Pagas prorrateadas"),1493.61*(F906*G906),AND(D906=7,H906="Pagas no prorrateadas"),1280.24*(F906*G906)))</f>
        <v/>
      </c>
      <c r="K906" s="106" t="str">
        <f aca="false">IF(A906="","",IF(J906-I906&gt;=0,"OK",J906-I906))</f>
        <v/>
      </c>
    </row>
    <row r="907" customFormat="false" ht="14.25" hidden="false" customHeight="true" outlineLevel="0" collapsed="false">
      <c r="A907" s="106"/>
      <c r="B907" s="106"/>
      <c r="C907" s="107"/>
      <c r="D907" s="106"/>
      <c r="E907" s="106"/>
      <c r="F907" s="108"/>
      <c r="G907" s="108"/>
      <c r="H907" s="106"/>
      <c r="I907" s="107"/>
      <c r="J907" s="131" t="str">
        <f aca="false" t="array" ref="J907:J907">IF(A907="","",ifs(AND(D907=1,H907="Pagas prorrateadas"),2705.41*(F907*G907),AND(D907=1,H907="Pagas no prorrateadas"),2318.93*(F907*G907),AND(D907=2,H907="Pagas prorrateadas"),2246.07*(F907*G907),AND(D907=2,H907="Pagas no prorrateadas"),1925.21*(F907*G907),AND(D907=3,H907="Pagas prorrateadas"),1775.44*(F907*G907),AND(D907=3,H907="Pagas no prorrateadas"),1521.81*(F907*G907),AND(D907=5,H907="Pagas prorrateadas"),1535.9*(F907*G907),AND(D907=5,H907="Pagas no prorrateadas"),1316.49*(F907*G907),AND(D907=7,H907="Pagas prorrateadas"),1493.61*(F907*G907),AND(D907=7,H907="Pagas no prorrateadas"),1280.24*(F907*G907)))</f>
        <v/>
      </c>
      <c r="K907" s="106" t="str">
        <f aca="false">IF(A907="","",IF(J907-I907&gt;=0,"OK",J907-I907))</f>
        <v/>
      </c>
    </row>
    <row r="908" customFormat="false" ht="14.25" hidden="false" customHeight="true" outlineLevel="0" collapsed="false">
      <c r="A908" s="106"/>
      <c r="B908" s="106"/>
      <c r="C908" s="107"/>
      <c r="D908" s="106"/>
      <c r="E908" s="106"/>
      <c r="F908" s="108"/>
      <c r="G908" s="108"/>
      <c r="H908" s="106"/>
      <c r="I908" s="107"/>
      <c r="J908" s="131" t="str">
        <f aca="false" t="array" ref="J908:J908">IF(A908="","",ifs(AND(D908=1,H908="Pagas prorrateadas"),2705.41*(F908*G908),AND(D908=1,H908="Pagas no prorrateadas"),2318.93*(F908*G908),AND(D908=2,H908="Pagas prorrateadas"),2246.07*(F908*G908),AND(D908=2,H908="Pagas no prorrateadas"),1925.21*(F908*G908),AND(D908=3,H908="Pagas prorrateadas"),1775.44*(F908*G908),AND(D908=3,H908="Pagas no prorrateadas"),1521.81*(F908*G908),AND(D908=5,H908="Pagas prorrateadas"),1535.9*(F908*G908),AND(D908=5,H908="Pagas no prorrateadas"),1316.49*(F908*G908),AND(D908=7,H908="Pagas prorrateadas"),1493.61*(F908*G908),AND(D908=7,H908="Pagas no prorrateadas"),1280.24*(F908*G908)))</f>
        <v/>
      </c>
      <c r="K908" s="106" t="str">
        <f aca="false">IF(A908="","",IF(J908-I908&gt;=0,"OK",J908-I908))</f>
        <v/>
      </c>
    </row>
    <row r="909" customFormat="false" ht="14.25" hidden="false" customHeight="true" outlineLevel="0" collapsed="false">
      <c r="A909" s="106"/>
      <c r="B909" s="106"/>
      <c r="C909" s="107"/>
      <c r="D909" s="106"/>
      <c r="E909" s="106"/>
      <c r="F909" s="108"/>
      <c r="G909" s="108"/>
      <c r="H909" s="106"/>
      <c r="I909" s="107"/>
      <c r="J909" s="131" t="str">
        <f aca="false" t="array" ref="J909:J909">IF(A909="","",ifs(AND(D909=1,H909="Pagas prorrateadas"),2705.41*(F909*G909),AND(D909=1,H909="Pagas no prorrateadas"),2318.93*(F909*G909),AND(D909=2,H909="Pagas prorrateadas"),2246.07*(F909*G909),AND(D909=2,H909="Pagas no prorrateadas"),1925.21*(F909*G909),AND(D909=3,H909="Pagas prorrateadas"),1775.44*(F909*G909),AND(D909=3,H909="Pagas no prorrateadas"),1521.81*(F909*G909),AND(D909=5,H909="Pagas prorrateadas"),1535.9*(F909*G909),AND(D909=5,H909="Pagas no prorrateadas"),1316.49*(F909*G909),AND(D909=7,H909="Pagas prorrateadas"),1493.61*(F909*G909),AND(D909=7,H909="Pagas no prorrateadas"),1280.24*(F909*G909)))</f>
        <v/>
      </c>
      <c r="K909" s="106" t="str">
        <f aca="false">IF(A909="","",IF(J909-I909&gt;=0,"OK",J909-I909))</f>
        <v/>
      </c>
    </row>
    <row r="910" customFormat="false" ht="14.25" hidden="false" customHeight="true" outlineLevel="0" collapsed="false">
      <c r="A910" s="106"/>
      <c r="B910" s="106"/>
      <c r="C910" s="107"/>
      <c r="D910" s="106"/>
      <c r="E910" s="106"/>
      <c r="F910" s="108"/>
      <c r="G910" s="108"/>
      <c r="H910" s="106"/>
      <c r="I910" s="107"/>
      <c r="J910" s="131" t="str">
        <f aca="false" t="array" ref="J910:J910">IF(A910="","",ifs(AND(D910=1,H910="Pagas prorrateadas"),2705.41*(F910*G910),AND(D910=1,H910="Pagas no prorrateadas"),2318.93*(F910*G910),AND(D910=2,H910="Pagas prorrateadas"),2246.07*(F910*G910),AND(D910=2,H910="Pagas no prorrateadas"),1925.21*(F910*G910),AND(D910=3,H910="Pagas prorrateadas"),1775.44*(F910*G910),AND(D910=3,H910="Pagas no prorrateadas"),1521.81*(F910*G910),AND(D910=5,H910="Pagas prorrateadas"),1535.9*(F910*G910),AND(D910=5,H910="Pagas no prorrateadas"),1316.49*(F910*G910),AND(D910=7,H910="Pagas prorrateadas"),1493.61*(F910*G910),AND(D910=7,H910="Pagas no prorrateadas"),1280.24*(F910*G910)))</f>
        <v/>
      </c>
      <c r="K910" s="106" t="str">
        <f aca="false">IF(A910="","",IF(J910-I910&gt;=0,"OK",J910-I910))</f>
        <v/>
      </c>
    </row>
    <row r="911" customFormat="false" ht="14.25" hidden="false" customHeight="true" outlineLevel="0" collapsed="false">
      <c r="A911" s="106"/>
      <c r="B911" s="106"/>
      <c r="C911" s="107"/>
      <c r="D911" s="106"/>
      <c r="E911" s="106"/>
      <c r="F911" s="108"/>
      <c r="G911" s="108"/>
      <c r="H911" s="106"/>
      <c r="I911" s="107"/>
      <c r="J911" s="131" t="str">
        <f aca="false" t="array" ref="J911:J911">IF(A911="","",ifs(AND(D911=1,H911="Pagas prorrateadas"),2705.41*(F911*G911),AND(D911=1,H911="Pagas no prorrateadas"),2318.93*(F911*G911),AND(D911=2,H911="Pagas prorrateadas"),2246.07*(F911*G911),AND(D911=2,H911="Pagas no prorrateadas"),1925.21*(F911*G911),AND(D911=3,H911="Pagas prorrateadas"),1775.44*(F911*G911),AND(D911=3,H911="Pagas no prorrateadas"),1521.81*(F911*G911),AND(D911=5,H911="Pagas prorrateadas"),1535.9*(F911*G911),AND(D911=5,H911="Pagas no prorrateadas"),1316.49*(F911*G911),AND(D911=7,H911="Pagas prorrateadas"),1493.61*(F911*G911),AND(D911=7,H911="Pagas no prorrateadas"),1280.24*(F911*G911)))</f>
        <v/>
      </c>
      <c r="K911" s="106" t="str">
        <f aca="false">IF(A911="","",IF(J911-I911&gt;=0,"OK",J911-I911))</f>
        <v/>
      </c>
    </row>
    <row r="912" customFormat="false" ht="14.25" hidden="false" customHeight="true" outlineLevel="0" collapsed="false">
      <c r="A912" s="106"/>
      <c r="B912" s="106"/>
      <c r="C912" s="107"/>
      <c r="D912" s="106"/>
      <c r="E912" s="106"/>
      <c r="F912" s="108"/>
      <c r="G912" s="108"/>
      <c r="H912" s="106"/>
      <c r="I912" s="107"/>
      <c r="J912" s="131" t="str">
        <f aca="false" t="array" ref="J912:J912">IF(A912="","",ifs(AND(D912=1,H912="Pagas prorrateadas"),2705.41*(F912*G912),AND(D912=1,H912="Pagas no prorrateadas"),2318.93*(F912*G912),AND(D912=2,H912="Pagas prorrateadas"),2246.07*(F912*G912),AND(D912=2,H912="Pagas no prorrateadas"),1925.21*(F912*G912),AND(D912=3,H912="Pagas prorrateadas"),1775.44*(F912*G912),AND(D912=3,H912="Pagas no prorrateadas"),1521.81*(F912*G912),AND(D912=5,H912="Pagas prorrateadas"),1535.9*(F912*G912),AND(D912=5,H912="Pagas no prorrateadas"),1316.49*(F912*G912),AND(D912=7,H912="Pagas prorrateadas"),1493.61*(F912*G912),AND(D912=7,H912="Pagas no prorrateadas"),1280.24*(F912*G912)))</f>
        <v/>
      </c>
      <c r="K912" s="106" t="str">
        <f aca="false">IF(A912="","",IF(J912-I912&gt;=0,"OK",J912-I912))</f>
        <v/>
      </c>
    </row>
    <row r="913" customFormat="false" ht="14.25" hidden="false" customHeight="true" outlineLevel="0" collapsed="false">
      <c r="A913" s="106"/>
      <c r="B913" s="106"/>
      <c r="C913" s="107"/>
      <c r="D913" s="106"/>
      <c r="E913" s="106"/>
      <c r="F913" s="108"/>
      <c r="G913" s="108"/>
      <c r="H913" s="106"/>
      <c r="I913" s="107"/>
      <c r="J913" s="131" t="str">
        <f aca="false" t="array" ref="J913:J913">IF(A913="","",ifs(AND(D913=1,H913="Pagas prorrateadas"),2705.41*(F913*G913),AND(D913=1,H913="Pagas no prorrateadas"),2318.93*(F913*G913),AND(D913=2,H913="Pagas prorrateadas"),2246.07*(F913*G913),AND(D913=2,H913="Pagas no prorrateadas"),1925.21*(F913*G913),AND(D913=3,H913="Pagas prorrateadas"),1775.44*(F913*G913),AND(D913=3,H913="Pagas no prorrateadas"),1521.81*(F913*G913),AND(D913=5,H913="Pagas prorrateadas"),1535.9*(F913*G913),AND(D913=5,H913="Pagas no prorrateadas"),1316.49*(F913*G913),AND(D913=7,H913="Pagas prorrateadas"),1493.61*(F913*G913),AND(D913=7,H913="Pagas no prorrateadas"),1280.24*(F913*G913)))</f>
        <v/>
      </c>
      <c r="K913" s="106" t="str">
        <f aca="false">IF(A913="","",IF(J913-I913&gt;=0,"OK",J913-I913))</f>
        <v/>
      </c>
    </row>
    <row r="914" customFormat="false" ht="14.25" hidden="false" customHeight="true" outlineLevel="0" collapsed="false">
      <c r="A914" s="106"/>
      <c r="B914" s="106"/>
      <c r="C914" s="107"/>
      <c r="D914" s="106"/>
      <c r="E914" s="106"/>
      <c r="F914" s="108"/>
      <c r="G914" s="108"/>
      <c r="H914" s="106"/>
      <c r="I914" s="107"/>
      <c r="J914" s="131" t="str">
        <f aca="false" t="array" ref="J914:J914">IF(A914="","",ifs(AND(D914=1,H914="Pagas prorrateadas"),2705.41*(F914*G914),AND(D914=1,H914="Pagas no prorrateadas"),2318.93*(F914*G914),AND(D914=2,H914="Pagas prorrateadas"),2246.07*(F914*G914),AND(D914=2,H914="Pagas no prorrateadas"),1925.21*(F914*G914),AND(D914=3,H914="Pagas prorrateadas"),1775.44*(F914*G914),AND(D914=3,H914="Pagas no prorrateadas"),1521.81*(F914*G914),AND(D914=5,H914="Pagas prorrateadas"),1535.9*(F914*G914),AND(D914=5,H914="Pagas no prorrateadas"),1316.49*(F914*G914),AND(D914=7,H914="Pagas prorrateadas"),1493.61*(F914*G914),AND(D914=7,H914="Pagas no prorrateadas"),1280.24*(F914*G914)))</f>
        <v/>
      </c>
      <c r="K914" s="106" t="str">
        <f aca="false">IF(A914="","",IF(J914-I914&gt;=0,"OK",J914-I914))</f>
        <v/>
      </c>
    </row>
    <row r="915" customFormat="false" ht="14.25" hidden="false" customHeight="true" outlineLevel="0" collapsed="false">
      <c r="A915" s="106"/>
      <c r="B915" s="106"/>
      <c r="C915" s="107"/>
      <c r="D915" s="106"/>
      <c r="E915" s="106"/>
      <c r="F915" s="108"/>
      <c r="G915" s="108"/>
      <c r="H915" s="106"/>
      <c r="I915" s="107"/>
      <c r="J915" s="131" t="str">
        <f aca="false" t="array" ref="J915:J915">IF(A915="","",ifs(AND(D915=1,H915="Pagas prorrateadas"),2705.41*(F915*G915),AND(D915=1,H915="Pagas no prorrateadas"),2318.93*(F915*G915),AND(D915=2,H915="Pagas prorrateadas"),2246.07*(F915*G915),AND(D915=2,H915="Pagas no prorrateadas"),1925.21*(F915*G915),AND(D915=3,H915="Pagas prorrateadas"),1775.44*(F915*G915),AND(D915=3,H915="Pagas no prorrateadas"),1521.81*(F915*G915),AND(D915=5,H915="Pagas prorrateadas"),1535.9*(F915*G915),AND(D915=5,H915="Pagas no prorrateadas"),1316.49*(F915*G915),AND(D915=7,H915="Pagas prorrateadas"),1493.61*(F915*G915),AND(D915=7,H915="Pagas no prorrateadas"),1280.24*(F915*G915)))</f>
        <v/>
      </c>
      <c r="K915" s="106" t="str">
        <f aca="false">IF(A915="","",IF(J915-I915&gt;=0,"OK",J915-I915))</f>
        <v/>
      </c>
    </row>
    <row r="916" customFormat="false" ht="14.25" hidden="false" customHeight="true" outlineLevel="0" collapsed="false">
      <c r="A916" s="106"/>
      <c r="B916" s="106"/>
      <c r="C916" s="107"/>
      <c r="D916" s="106"/>
      <c r="E916" s="106"/>
      <c r="F916" s="108"/>
      <c r="G916" s="108"/>
      <c r="H916" s="106"/>
      <c r="I916" s="107"/>
      <c r="J916" s="131" t="str">
        <f aca="false" t="array" ref="J916:J916">IF(A916="","",ifs(AND(D916=1,H916="Pagas prorrateadas"),2705.41*(F916*G916),AND(D916=1,H916="Pagas no prorrateadas"),2318.93*(F916*G916),AND(D916=2,H916="Pagas prorrateadas"),2246.07*(F916*G916),AND(D916=2,H916="Pagas no prorrateadas"),1925.21*(F916*G916),AND(D916=3,H916="Pagas prorrateadas"),1775.44*(F916*G916),AND(D916=3,H916="Pagas no prorrateadas"),1521.81*(F916*G916),AND(D916=5,H916="Pagas prorrateadas"),1535.9*(F916*G916),AND(D916=5,H916="Pagas no prorrateadas"),1316.49*(F916*G916),AND(D916=7,H916="Pagas prorrateadas"),1493.61*(F916*G916),AND(D916=7,H916="Pagas no prorrateadas"),1280.24*(F916*G916)))</f>
        <v/>
      </c>
      <c r="K916" s="106" t="str">
        <f aca="false">IF(A916="","",IF(J916-I916&gt;=0,"OK",J916-I916))</f>
        <v/>
      </c>
    </row>
    <row r="917" customFormat="false" ht="14.25" hidden="false" customHeight="true" outlineLevel="0" collapsed="false">
      <c r="A917" s="106"/>
      <c r="B917" s="106"/>
      <c r="C917" s="107"/>
      <c r="D917" s="106"/>
      <c r="E917" s="106"/>
      <c r="F917" s="108"/>
      <c r="G917" s="108"/>
      <c r="H917" s="106"/>
      <c r="I917" s="107"/>
      <c r="J917" s="131" t="str">
        <f aca="false" t="array" ref="J917:J917">IF(A917="","",ifs(AND(D917=1,H917="Pagas prorrateadas"),2705.41*(F917*G917),AND(D917=1,H917="Pagas no prorrateadas"),2318.93*(F917*G917),AND(D917=2,H917="Pagas prorrateadas"),2246.07*(F917*G917),AND(D917=2,H917="Pagas no prorrateadas"),1925.21*(F917*G917),AND(D917=3,H917="Pagas prorrateadas"),1775.44*(F917*G917),AND(D917=3,H917="Pagas no prorrateadas"),1521.81*(F917*G917),AND(D917=5,H917="Pagas prorrateadas"),1535.9*(F917*G917),AND(D917=5,H917="Pagas no prorrateadas"),1316.49*(F917*G917),AND(D917=7,H917="Pagas prorrateadas"),1493.61*(F917*G917),AND(D917=7,H917="Pagas no prorrateadas"),1280.24*(F917*G917)))</f>
        <v/>
      </c>
      <c r="K917" s="106" t="str">
        <f aca="false">IF(A917="","",IF(J917-I917&gt;=0,"OK",J917-I917))</f>
        <v/>
      </c>
    </row>
    <row r="918" customFormat="false" ht="14.25" hidden="false" customHeight="true" outlineLevel="0" collapsed="false">
      <c r="A918" s="106"/>
      <c r="B918" s="106"/>
      <c r="C918" s="107"/>
      <c r="D918" s="106"/>
      <c r="E918" s="106"/>
      <c r="F918" s="108"/>
      <c r="G918" s="108"/>
      <c r="H918" s="106"/>
      <c r="I918" s="107"/>
      <c r="J918" s="131" t="str">
        <f aca="false" t="array" ref="J918:J918">IF(A918="","",ifs(AND(D918=1,H918="Pagas prorrateadas"),2705.41*(F918*G918),AND(D918=1,H918="Pagas no prorrateadas"),2318.93*(F918*G918),AND(D918=2,H918="Pagas prorrateadas"),2246.07*(F918*G918),AND(D918=2,H918="Pagas no prorrateadas"),1925.21*(F918*G918),AND(D918=3,H918="Pagas prorrateadas"),1775.44*(F918*G918),AND(D918=3,H918="Pagas no prorrateadas"),1521.81*(F918*G918),AND(D918=5,H918="Pagas prorrateadas"),1535.9*(F918*G918),AND(D918=5,H918="Pagas no prorrateadas"),1316.49*(F918*G918),AND(D918=7,H918="Pagas prorrateadas"),1493.61*(F918*G918),AND(D918=7,H918="Pagas no prorrateadas"),1280.24*(F918*G918)))</f>
        <v/>
      </c>
      <c r="K918" s="106" t="str">
        <f aca="false">IF(A918="","",IF(J918-I918&gt;=0,"OK",J918-I918))</f>
        <v/>
      </c>
    </row>
    <row r="919" customFormat="false" ht="14.25" hidden="false" customHeight="true" outlineLevel="0" collapsed="false">
      <c r="A919" s="106"/>
      <c r="B919" s="106"/>
      <c r="C919" s="107"/>
      <c r="D919" s="106"/>
      <c r="E919" s="106"/>
      <c r="F919" s="108"/>
      <c r="G919" s="108"/>
      <c r="H919" s="106"/>
      <c r="I919" s="107"/>
      <c r="J919" s="131" t="str">
        <f aca="false" t="array" ref="J919:J919">IF(A919="","",ifs(AND(D919=1,H919="Pagas prorrateadas"),2705.41*(F919*G919),AND(D919=1,H919="Pagas no prorrateadas"),2318.93*(F919*G919),AND(D919=2,H919="Pagas prorrateadas"),2246.07*(F919*G919),AND(D919=2,H919="Pagas no prorrateadas"),1925.21*(F919*G919),AND(D919=3,H919="Pagas prorrateadas"),1775.44*(F919*G919),AND(D919=3,H919="Pagas no prorrateadas"),1521.81*(F919*G919),AND(D919=5,H919="Pagas prorrateadas"),1535.9*(F919*G919),AND(D919=5,H919="Pagas no prorrateadas"),1316.49*(F919*G919),AND(D919=7,H919="Pagas prorrateadas"),1493.61*(F919*G919),AND(D919=7,H919="Pagas no prorrateadas"),1280.24*(F919*G919)))</f>
        <v/>
      </c>
      <c r="K919" s="106" t="str">
        <f aca="false">IF(A919="","",IF(J919-I919&gt;=0,"OK",J919-I919))</f>
        <v/>
      </c>
    </row>
    <row r="920" customFormat="false" ht="14.25" hidden="false" customHeight="true" outlineLevel="0" collapsed="false">
      <c r="A920" s="106"/>
      <c r="B920" s="106"/>
      <c r="C920" s="107"/>
      <c r="D920" s="106"/>
      <c r="E920" s="106"/>
      <c r="F920" s="108"/>
      <c r="G920" s="108"/>
      <c r="H920" s="106"/>
      <c r="I920" s="107"/>
      <c r="J920" s="131" t="str">
        <f aca="false" t="array" ref="J920:J920">IF(A920="","",ifs(AND(D920=1,H920="Pagas prorrateadas"),2705.41*(F920*G920),AND(D920=1,H920="Pagas no prorrateadas"),2318.93*(F920*G920),AND(D920=2,H920="Pagas prorrateadas"),2246.07*(F920*G920),AND(D920=2,H920="Pagas no prorrateadas"),1925.21*(F920*G920),AND(D920=3,H920="Pagas prorrateadas"),1775.44*(F920*G920),AND(D920=3,H920="Pagas no prorrateadas"),1521.81*(F920*G920),AND(D920=5,H920="Pagas prorrateadas"),1535.9*(F920*G920),AND(D920=5,H920="Pagas no prorrateadas"),1316.49*(F920*G920),AND(D920=7,H920="Pagas prorrateadas"),1493.61*(F920*G920),AND(D920=7,H920="Pagas no prorrateadas"),1280.24*(F920*G920)))</f>
        <v/>
      </c>
      <c r="K920" s="106" t="str">
        <f aca="false">IF(A920="","",IF(J920-I920&gt;=0,"OK",J920-I920))</f>
        <v/>
      </c>
    </row>
    <row r="921" customFormat="false" ht="14.25" hidden="false" customHeight="true" outlineLevel="0" collapsed="false">
      <c r="A921" s="106"/>
      <c r="B921" s="106"/>
      <c r="C921" s="107"/>
      <c r="D921" s="106"/>
      <c r="E921" s="106"/>
      <c r="F921" s="108"/>
      <c r="G921" s="108"/>
      <c r="H921" s="106"/>
      <c r="I921" s="107"/>
      <c r="J921" s="131" t="str">
        <f aca="false" t="array" ref="J921:J921">IF(A921="","",ifs(AND(D921=1,H921="Pagas prorrateadas"),2705.41*(F921*G921),AND(D921=1,H921="Pagas no prorrateadas"),2318.93*(F921*G921),AND(D921=2,H921="Pagas prorrateadas"),2246.07*(F921*G921),AND(D921=2,H921="Pagas no prorrateadas"),1925.21*(F921*G921),AND(D921=3,H921="Pagas prorrateadas"),1775.44*(F921*G921),AND(D921=3,H921="Pagas no prorrateadas"),1521.81*(F921*G921),AND(D921=5,H921="Pagas prorrateadas"),1535.9*(F921*G921),AND(D921=5,H921="Pagas no prorrateadas"),1316.49*(F921*G921),AND(D921=7,H921="Pagas prorrateadas"),1493.61*(F921*G921),AND(D921=7,H921="Pagas no prorrateadas"),1280.24*(F921*G921)))</f>
        <v/>
      </c>
      <c r="K921" s="106" t="str">
        <f aca="false">IF(A921="","",IF(J921-I921&gt;=0,"OK",J921-I921))</f>
        <v/>
      </c>
    </row>
    <row r="922" customFormat="false" ht="14.25" hidden="false" customHeight="true" outlineLevel="0" collapsed="false">
      <c r="A922" s="106"/>
      <c r="B922" s="106"/>
      <c r="C922" s="107"/>
      <c r="D922" s="106"/>
      <c r="E922" s="106"/>
      <c r="F922" s="108"/>
      <c r="G922" s="108"/>
      <c r="H922" s="106"/>
      <c r="I922" s="107"/>
      <c r="J922" s="131" t="str">
        <f aca="false" t="array" ref="J922:J922">IF(A922="","",ifs(AND(D922=1,H922="Pagas prorrateadas"),2705.41*(F922*G922),AND(D922=1,H922="Pagas no prorrateadas"),2318.93*(F922*G922),AND(D922=2,H922="Pagas prorrateadas"),2246.07*(F922*G922),AND(D922=2,H922="Pagas no prorrateadas"),1925.21*(F922*G922),AND(D922=3,H922="Pagas prorrateadas"),1775.44*(F922*G922),AND(D922=3,H922="Pagas no prorrateadas"),1521.81*(F922*G922),AND(D922=5,H922="Pagas prorrateadas"),1535.9*(F922*G922),AND(D922=5,H922="Pagas no prorrateadas"),1316.49*(F922*G922),AND(D922=7,H922="Pagas prorrateadas"),1493.61*(F922*G922),AND(D922=7,H922="Pagas no prorrateadas"),1280.24*(F922*G922)))</f>
        <v/>
      </c>
      <c r="K922" s="106" t="str">
        <f aca="false">IF(A922="","",IF(J922-I922&gt;=0,"OK",J922-I922))</f>
        <v/>
      </c>
    </row>
    <row r="923" customFormat="false" ht="14.25" hidden="false" customHeight="true" outlineLevel="0" collapsed="false">
      <c r="A923" s="106"/>
      <c r="B923" s="106"/>
      <c r="C923" s="107"/>
      <c r="D923" s="106"/>
      <c r="E923" s="106"/>
      <c r="F923" s="108"/>
      <c r="G923" s="108"/>
      <c r="H923" s="106"/>
      <c r="I923" s="107"/>
      <c r="J923" s="131" t="str">
        <f aca="false" t="array" ref="J923:J923">IF(A923="","",ifs(AND(D923=1,H923="Pagas prorrateadas"),2705.41*(F923*G923),AND(D923=1,H923="Pagas no prorrateadas"),2318.93*(F923*G923),AND(D923=2,H923="Pagas prorrateadas"),2246.07*(F923*G923),AND(D923=2,H923="Pagas no prorrateadas"),1925.21*(F923*G923),AND(D923=3,H923="Pagas prorrateadas"),1775.44*(F923*G923),AND(D923=3,H923="Pagas no prorrateadas"),1521.81*(F923*G923),AND(D923=5,H923="Pagas prorrateadas"),1535.9*(F923*G923),AND(D923=5,H923="Pagas no prorrateadas"),1316.49*(F923*G923),AND(D923=7,H923="Pagas prorrateadas"),1493.61*(F923*G923),AND(D923=7,H923="Pagas no prorrateadas"),1280.24*(F923*G923)))</f>
        <v/>
      </c>
      <c r="K923" s="106" t="str">
        <f aca="false">IF(A923="","",IF(J923-I923&gt;=0,"OK",J923-I923))</f>
        <v/>
      </c>
    </row>
    <row r="924" customFormat="false" ht="14.25" hidden="false" customHeight="true" outlineLevel="0" collapsed="false">
      <c r="A924" s="106"/>
      <c r="B924" s="106"/>
      <c r="C924" s="107"/>
      <c r="D924" s="106"/>
      <c r="E924" s="106"/>
      <c r="F924" s="108"/>
      <c r="G924" s="108"/>
      <c r="H924" s="106"/>
      <c r="I924" s="107"/>
      <c r="J924" s="131" t="str">
        <f aca="false" t="array" ref="J924:J924">IF(A924="","",ifs(AND(D924=1,H924="Pagas prorrateadas"),2705.41*(F924*G924),AND(D924=1,H924="Pagas no prorrateadas"),2318.93*(F924*G924),AND(D924=2,H924="Pagas prorrateadas"),2246.07*(F924*G924),AND(D924=2,H924="Pagas no prorrateadas"),1925.21*(F924*G924),AND(D924=3,H924="Pagas prorrateadas"),1775.44*(F924*G924),AND(D924=3,H924="Pagas no prorrateadas"),1521.81*(F924*G924),AND(D924=5,H924="Pagas prorrateadas"),1535.9*(F924*G924),AND(D924=5,H924="Pagas no prorrateadas"),1316.49*(F924*G924),AND(D924=7,H924="Pagas prorrateadas"),1493.61*(F924*G924),AND(D924=7,H924="Pagas no prorrateadas"),1280.24*(F924*G924)))</f>
        <v/>
      </c>
      <c r="K924" s="106" t="str">
        <f aca="false">IF(A924="","",IF(J924-I924&gt;=0,"OK",J924-I924))</f>
        <v/>
      </c>
    </row>
    <row r="925" customFormat="false" ht="14.25" hidden="false" customHeight="true" outlineLevel="0" collapsed="false">
      <c r="A925" s="106"/>
      <c r="B925" s="106"/>
      <c r="C925" s="107"/>
      <c r="D925" s="106"/>
      <c r="E925" s="106"/>
      <c r="F925" s="108"/>
      <c r="G925" s="108"/>
      <c r="H925" s="106"/>
      <c r="I925" s="107"/>
      <c r="J925" s="131" t="str">
        <f aca="false" t="array" ref="J925:J925">IF(A925="","",ifs(AND(D925=1,H925="Pagas prorrateadas"),2705.41*(F925*G925),AND(D925=1,H925="Pagas no prorrateadas"),2318.93*(F925*G925),AND(D925=2,H925="Pagas prorrateadas"),2246.07*(F925*G925),AND(D925=2,H925="Pagas no prorrateadas"),1925.21*(F925*G925),AND(D925=3,H925="Pagas prorrateadas"),1775.44*(F925*G925),AND(D925=3,H925="Pagas no prorrateadas"),1521.81*(F925*G925),AND(D925=5,H925="Pagas prorrateadas"),1535.9*(F925*G925),AND(D925=5,H925="Pagas no prorrateadas"),1316.49*(F925*G925),AND(D925=7,H925="Pagas prorrateadas"),1493.61*(F925*G925),AND(D925=7,H925="Pagas no prorrateadas"),1280.24*(F925*G925)))</f>
        <v/>
      </c>
      <c r="K925" s="106" t="str">
        <f aca="false">IF(A925="","",IF(J925-I925&gt;=0,"OK",J925-I925))</f>
        <v/>
      </c>
    </row>
    <row r="926" customFormat="false" ht="14.25" hidden="false" customHeight="true" outlineLevel="0" collapsed="false">
      <c r="A926" s="106"/>
      <c r="B926" s="106"/>
      <c r="C926" s="107"/>
      <c r="D926" s="106"/>
      <c r="E926" s="106"/>
      <c r="F926" s="108"/>
      <c r="G926" s="108"/>
      <c r="H926" s="106"/>
      <c r="I926" s="107"/>
      <c r="J926" s="131" t="str">
        <f aca="false" t="array" ref="J926:J926">IF(A926="","",ifs(AND(D926=1,H926="Pagas prorrateadas"),2705.41*(F926*G926),AND(D926=1,H926="Pagas no prorrateadas"),2318.93*(F926*G926),AND(D926=2,H926="Pagas prorrateadas"),2246.07*(F926*G926),AND(D926=2,H926="Pagas no prorrateadas"),1925.21*(F926*G926),AND(D926=3,H926="Pagas prorrateadas"),1775.44*(F926*G926),AND(D926=3,H926="Pagas no prorrateadas"),1521.81*(F926*G926),AND(D926=5,H926="Pagas prorrateadas"),1535.9*(F926*G926),AND(D926=5,H926="Pagas no prorrateadas"),1316.49*(F926*G926),AND(D926=7,H926="Pagas prorrateadas"),1493.61*(F926*G926),AND(D926=7,H926="Pagas no prorrateadas"),1280.24*(F926*G926)))</f>
        <v/>
      </c>
      <c r="K926" s="106" t="str">
        <f aca="false">IF(A926="","",IF(J926-I926&gt;=0,"OK",J926-I926))</f>
        <v/>
      </c>
    </row>
    <row r="927" customFormat="false" ht="14.25" hidden="false" customHeight="true" outlineLevel="0" collapsed="false">
      <c r="A927" s="106"/>
      <c r="B927" s="106"/>
      <c r="C927" s="107"/>
      <c r="D927" s="106"/>
      <c r="E927" s="106"/>
      <c r="F927" s="108"/>
      <c r="G927" s="108"/>
      <c r="H927" s="106"/>
      <c r="I927" s="107"/>
      <c r="J927" s="131" t="str">
        <f aca="false" t="array" ref="J927:J927">IF(A927="","",ifs(AND(D927=1,H927="Pagas prorrateadas"),2705.41*(F927*G927),AND(D927=1,H927="Pagas no prorrateadas"),2318.93*(F927*G927),AND(D927=2,H927="Pagas prorrateadas"),2246.07*(F927*G927),AND(D927=2,H927="Pagas no prorrateadas"),1925.21*(F927*G927),AND(D927=3,H927="Pagas prorrateadas"),1775.44*(F927*G927),AND(D927=3,H927="Pagas no prorrateadas"),1521.81*(F927*G927),AND(D927=5,H927="Pagas prorrateadas"),1535.9*(F927*G927),AND(D927=5,H927="Pagas no prorrateadas"),1316.49*(F927*G927),AND(D927=7,H927="Pagas prorrateadas"),1493.61*(F927*G927),AND(D927=7,H927="Pagas no prorrateadas"),1280.24*(F927*G927)))</f>
        <v/>
      </c>
      <c r="K927" s="106" t="str">
        <f aca="false">IF(A927="","",IF(J927-I927&gt;=0,"OK",J927-I927))</f>
        <v/>
      </c>
    </row>
    <row r="928" customFormat="false" ht="14.25" hidden="false" customHeight="true" outlineLevel="0" collapsed="false">
      <c r="A928" s="106"/>
      <c r="B928" s="106"/>
      <c r="C928" s="107"/>
      <c r="D928" s="106"/>
      <c r="E928" s="106"/>
      <c r="F928" s="108"/>
      <c r="G928" s="108"/>
      <c r="H928" s="106"/>
      <c r="I928" s="107"/>
      <c r="J928" s="131" t="str">
        <f aca="false" t="array" ref="J928:J928">IF(A928="","",ifs(AND(D928=1,H928="Pagas prorrateadas"),2705.41*(F928*G928),AND(D928=1,H928="Pagas no prorrateadas"),2318.93*(F928*G928),AND(D928=2,H928="Pagas prorrateadas"),2246.07*(F928*G928),AND(D928=2,H928="Pagas no prorrateadas"),1925.21*(F928*G928),AND(D928=3,H928="Pagas prorrateadas"),1775.44*(F928*G928),AND(D928=3,H928="Pagas no prorrateadas"),1521.81*(F928*G928),AND(D928=5,H928="Pagas prorrateadas"),1535.9*(F928*G928),AND(D928=5,H928="Pagas no prorrateadas"),1316.49*(F928*G928),AND(D928=7,H928="Pagas prorrateadas"),1493.61*(F928*G928),AND(D928=7,H928="Pagas no prorrateadas"),1280.24*(F928*G928)))</f>
        <v/>
      </c>
      <c r="K928" s="106" t="str">
        <f aca="false">IF(A928="","",IF(J928-I928&gt;=0,"OK",J928-I928))</f>
        <v/>
      </c>
    </row>
    <row r="929" customFormat="false" ht="14.25" hidden="false" customHeight="true" outlineLevel="0" collapsed="false">
      <c r="A929" s="106"/>
      <c r="B929" s="106"/>
      <c r="C929" s="107"/>
      <c r="D929" s="106"/>
      <c r="E929" s="106"/>
      <c r="F929" s="108"/>
      <c r="G929" s="108"/>
      <c r="H929" s="106"/>
      <c r="I929" s="107"/>
      <c r="J929" s="131" t="str">
        <f aca="false" t="array" ref="J929:J929">IF(A929="","",ifs(AND(D929=1,H929="Pagas prorrateadas"),2705.41*(F929*G929),AND(D929=1,H929="Pagas no prorrateadas"),2318.93*(F929*G929),AND(D929=2,H929="Pagas prorrateadas"),2246.07*(F929*G929),AND(D929=2,H929="Pagas no prorrateadas"),1925.21*(F929*G929),AND(D929=3,H929="Pagas prorrateadas"),1775.44*(F929*G929),AND(D929=3,H929="Pagas no prorrateadas"),1521.81*(F929*G929),AND(D929=5,H929="Pagas prorrateadas"),1535.9*(F929*G929),AND(D929=5,H929="Pagas no prorrateadas"),1316.49*(F929*G929),AND(D929=7,H929="Pagas prorrateadas"),1493.61*(F929*G929),AND(D929=7,H929="Pagas no prorrateadas"),1280.24*(F929*G929)))</f>
        <v/>
      </c>
      <c r="K929" s="106" t="str">
        <f aca="false">IF(A929="","",IF(J929-I929&gt;=0,"OK",J929-I929))</f>
        <v/>
      </c>
    </row>
    <row r="930" customFormat="false" ht="14.25" hidden="false" customHeight="true" outlineLevel="0" collapsed="false">
      <c r="A930" s="106"/>
      <c r="B930" s="106"/>
      <c r="C930" s="107"/>
      <c r="D930" s="106"/>
      <c r="E930" s="106"/>
      <c r="F930" s="108"/>
      <c r="G930" s="108"/>
      <c r="H930" s="106"/>
      <c r="I930" s="107"/>
      <c r="J930" s="131" t="str">
        <f aca="false" t="array" ref="J930:J930">IF(A930="","",ifs(AND(D930=1,H930="Pagas prorrateadas"),2705.41*(F930*G930),AND(D930=1,H930="Pagas no prorrateadas"),2318.93*(F930*G930),AND(D930=2,H930="Pagas prorrateadas"),2246.07*(F930*G930),AND(D930=2,H930="Pagas no prorrateadas"),1925.21*(F930*G930),AND(D930=3,H930="Pagas prorrateadas"),1775.44*(F930*G930),AND(D930=3,H930="Pagas no prorrateadas"),1521.81*(F930*G930),AND(D930=5,H930="Pagas prorrateadas"),1535.9*(F930*G930),AND(D930=5,H930="Pagas no prorrateadas"),1316.49*(F930*G930),AND(D930=7,H930="Pagas prorrateadas"),1493.61*(F930*G930),AND(D930=7,H930="Pagas no prorrateadas"),1280.24*(F930*G930)))</f>
        <v/>
      </c>
      <c r="K930" s="106" t="str">
        <f aca="false">IF(A930="","",IF(J930-I930&gt;=0,"OK",J930-I930))</f>
        <v/>
      </c>
    </row>
    <row r="931" customFormat="false" ht="14.25" hidden="false" customHeight="true" outlineLevel="0" collapsed="false">
      <c r="A931" s="106"/>
      <c r="B931" s="106"/>
      <c r="C931" s="107"/>
      <c r="D931" s="106"/>
      <c r="E931" s="106"/>
      <c r="F931" s="108"/>
      <c r="G931" s="108"/>
      <c r="H931" s="106"/>
      <c r="I931" s="107"/>
      <c r="J931" s="131" t="str">
        <f aca="false" t="array" ref="J931:J931">IF(A931="","",ifs(AND(D931=1,H931="Pagas prorrateadas"),2705.41*(F931*G931),AND(D931=1,H931="Pagas no prorrateadas"),2318.93*(F931*G931),AND(D931=2,H931="Pagas prorrateadas"),2246.07*(F931*G931),AND(D931=2,H931="Pagas no prorrateadas"),1925.21*(F931*G931),AND(D931=3,H931="Pagas prorrateadas"),1775.44*(F931*G931),AND(D931=3,H931="Pagas no prorrateadas"),1521.81*(F931*G931),AND(D931=5,H931="Pagas prorrateadas"),1535.9*(F931*G931),AND(D931=5,H931="Pagas no prorrateadas"),1316.49*(F931*G931),AND(D931=7,H931="Pagas prorrateadas"),1493.61*(F931*G931),AND(D931=7,H931="Pagas no prorrateadas"),1280.24*(F931*G931)))</f>
        <v/>
      </c>
      <c r="K931" s="106" t="str">
        <f aca="false">IF(A931="","",IF(J931-I931&gt;=0,"OK",J931-I931))</f>
        <v/>
      </c>
    </row>
    <row r="932" customFormat="false" ht="14.25" hidden="false" customHeight="true" outlineLevel="0" collapsed="false">
      <c r="A932" s="106"/>
      <c r="B932" s="106"/>
      <c r="C932" s="107"/>
      <c r="D932" s="106"/>
      <c r="E932" s="106"/>
      <c r="F932" s="108"/>
      <c r="G932" s="108"/>
      <c r="H932" s="106"/>
      <c r="I932" s="107"/>
      <c r="J932" s="131" t="str">
        <f aca="false" t="array" ref="J932:J932">IF(A932="","",ifs(AND(D932=1,H932="Pagas prorrateadas"),2705.41*(F932*G932),AND(D932=1,H932="Pagas no prorrateadas"),2318.93*(F932*G932),AND(D932=2,H932="Pagas prorrateadas"),2246.07*(F932*G932),AND(D932=2,H932="Pagas no prorrateadas"),1925.21*(F932*G932),AND(D932=3,H932="Pagas prorrateadas"),1775.44*(F932*G932),AND(D932=3,H932="Pagas no prorrateadas"),1521.81*(F932*G932),AND(D932=5,H932="Pagas prorrateadas"),1535.9*(F932*G932),AND(D932=5,H932="Pagas no prorrateadas"),1316.49*(F932*G932),AND(D932=7,H932="Pagas prorrateadas"),1493.61*(F932*G932),AND(D932=7,H932="Pagas no prorrateadas"),1280.24*(F932*G932)))</f>
        <v/>
      </c>
      <c r="K932" s="106" t="str">
        <f aca="false">IF(A932="","",IF(J932-I932&gt;=0,"OK",J932-I932))</f>
        <v/>
      </c>
    </row>
    <row r="933" customFormat="false" ht="14.25" hidden="false" customHeight="true" outlineLevel="0" collapsed="false">
      <c r="A933" s="106"/>
      <c r="B933" s="106"/>
      <c r="C933" s="107"/>
      <c r="D933" s="106"/>
      <c r="E933" s="106"/>
      <c r="F933" s="108"/>
      <c r="G933" s="108"/>
      <c r="H933" s="106"/>
      <c r="I933" s="107"/>
      <c r="J933" s="131" t="str">
        <f aca="false" t="array" ref="J933:J933">IF(A933="","",ifs(AND(D933=1,H933="Pagas prorrateadas"),2705.41*(F933*G933),AND(D933=1,H933="Pagas no prorrateadas"),2318.93*(F933*G933),AND(D933=2,H933="Pagas prorrateadas"),2246.07*(F933*G933),AND(D933=2,H933="Pagas no prorrateadas"),1925.21*(F933*G933),AND(D933=3,H933="Pagas prorrateadas"),1775.44*(F933*G933),AND(D933=3,H933="Pagas no prorrateadas"),1521.81*(F933*G933),AND(D933=5,H933="Pagas prorrateadas"),1535.9*(F933*G933),AND(D933=5,H933="Pagas no prorrateadas"),1316.49*(F933*G933),AND(D933=7,H933="Pagas prorrateadas"),1493.61*(F933*G933),AND(D933=7,H933="Pagas no prorrateadas"),1280.24*(F933*G933)))</f>
        <v/>
      </c>
      <c r="K933" s="106" t="str">
        <f aca="false">IF(A933="","",IF(J933-I933&gt;=0,"OK",J933-I933))</f>
        <v/>
      </c>
    </row>
    <row r="934" customFormat="false" ht="14.25" hidden="false" customHeight="true" outlineLevel="0" collapsed="false">
      <c r="A934" s="106"/>
      <c r="B934" s="106"/>
      <c r="C934" s="107"/>
      <c r="D934" s="106"/>
      <c r="E934" s="106"/>
      <c r="F934" s="108"/>
      <c r="G934" s="108"/>
      <c r="H934" s="106"/>
      <c r="I934" s="107"/>
      <c r="J934" s="131" t="str">
        <f aca="false" t="array" ref="J934:J934">IF(A934="","",ifs(AND(D934=1,H934="Pagas prorrateadas"),2705.41*(F934*G934),AND(D934=1,H934="Pagas no prorrateadas"),2318.93*(F934*G934),AND(D934=2,H934="Pagas prorrateadas"),2246.07*(F934*G934),AND(D934=2,H934="Pagas no prorrateadas"),1925.21*(F934*G934),AND(D934=3,H934="Pagas prorrateadas"),1775.44*(F934*G934),AND(D934=3,H934="Pagas no prorrateadas"),1521.81*(F934*G934),AND(D934=5,H934="Pagas prorrateadas"),1535.9*(F934*G934),AND(D934=5,H934="Pagas no prorrateadas"),1316.49*(F934*G934),AND(D934=7,H934="Pagas prorrateadas"),1493.61*(F934*G934),AND(D934=7,H934="Pagas no prorrateadas"),1280.24*(F934*G934)))</f>
        <v/>
      </c>
      <c r="K934" s="106" t="str">
        <f aca="false">IF(A934="","",IF(J934-I934&gt;=0,"OK",J934-I934))</f>
        <v/>
      </c>
    </row>
    <row r="935" customFormat="false" ht="14.25" hidden="false" customHeight="true" outlineLevel="0" collapsed="false">
      <c r="A935" s="106"/>
      <c r="B935" s="106"/>
      <c r="C935" s="107"/>
      <c r="D935" s="106"/>
      <c r="E935" s="106"/>
      <c r="F935" s="108"/>
      <c r="G935" s="108"/>
      <c r="H935" s="106"/>
      <c r="I935" s="107"/>
      <c r="J935" s="131" t="str">
        <f aca="false" t="array" ref="J935:J935">IF(A935="","",ifs(AND(D935=1,H935="Pagas prorrateadas"),2705.41*(F935*G935),AND(D935=1,H935="Pagas no prorrateadas"),2318.93*(F935*G935),AND(D935=2,H935="Pagas prorrateadas"),2246.07*(F935*G935),AND(D935=2,H935="Pagas no prorrateadas"),1925.21*(F935*G935),AND(D935=3,H935="Pagas prorrateadas"),1775.44*(F935*G935),AND(D935=3,H935="Pagas no prorrateadas"),1521.81*(F935*G935),AND(D935=5,H935="Pagas prorrateadas"),1535.9*(F935*G935),AND(D935=5,H935="Pagas no prorrateadas"),1316.49*(F935*G935),AND(D935=7,H935="Pagas prorrateadas"),1493.61*(F935*G935),AND(D935=7,H935="Pagas no prorrateadas"),1280.24*(F935*G935)))</f>
        <v/>
      </c>
      <c r="K935" s="106" t="str">
        <f aca="false">IF(A935="","",IF(J935-I935&gt;=0,"OK",J935-I935))</f>
        <v/>
      </c>
    </row>
    <row r="936" customFormat="false" ht="14.25" hidden="false" customHeight="true" outlineLevel="0" collapsed="false">
      <c r="A936" s="106"/>
      <c r="B936" s="106"/>
      <c r="C936" s="107"/>
      <c r="D936" s="106"/>
      <c r="E936" s="106"/>
      <c r="F936" s="108"/>
      <c r="G936" s="108"/>
      <c r="H936" s="106"/>
      <c r="I936" s="107"/>
      <c r="J936" s="131" t="str">
        <f aca="false" t="array" ref="J936:J936">IF(A936="","",ifs(AND(D936=1,H936="Pagas prorrateadas"),2705.41*(F936*G936),AND(D936=1,H936="Pagas no prorrateadas"),2318.93*(F936*G936),AND(D936=2,H936="Pagas prorrateadas"),2246.07*(F936*G936),AND(D936=2,H936="Pagas no prorrateadas"),1925.21*(F936*G936),AND(D936=3,H936="Pagas prorrateadas"),1775.44*(F936*G936),AND(D936=3,H936="Pagas no prorrateadas"),1521.81*(F936*G936),AND(D936=5,H936="Pagas prorrateadas"),1535.9*(F936*G936),AND(D936=5,H936="Pagas no prorrateadas"),1316.49*(F936*G936),AND(D936=7,H936="Pagas prorrateadas"),1493.61*(F936*G936),AND(D936=7,H936="Pagas no prorrateadas"),1280.24*(F936*G936)))</f>
        <v/>
      </c>
      <c r="K936" s="106" t="str">
        <f aca="false">IF(A936="","",IF(J936-I936&gt;=0,"OK",J936-I936))</f>
        <v/>
      </c>
    </row>
    <row r="937" customFormat="false" ht="14.25" hidden="false" customHeight="true" outlineLevel="0" collapsed="false">
      <c r="A937" s="106"/>
      <c r="B937" s="106"/>
      <c r="C937" s="107"/>
      <c r="D937" s="106"/>
      <c r="E937" s="106"/>
      <c r="F937" s="108"/>
      <c r="G937" s="108"/>
      <c r="H937" s="106"/>
      <c r="I937" s="107"/>
      <c r="J937" s="131" t="str">
        <f aca="false" t="array" ref="J937:J937">IF(A937="","",ifs(AND(D937=1,H937="Pagas prorrateadas"),2705.41*(F937*G937),AND(D937=1,H937="Pagas no prorrateadas"),2318.93*(F937*G937),AND(D937=2,H937="Pagas prorrateadas"),2246.07*(F937*G937),AND(D937=2,H937="Pagas no prorrateadas"),1925.21*(F937*G937),AND(D937=3,H937="Pagas prorrateadas"),1775.44*(F937*G937),AND(D937=3,H937="Pagas no prorrateadas"),1521.81*(F937*G937),AND(D937=5,H937="Pagas prorrateadas"),1535.9*(F937*G937),AND(D937=5,H937="Pagas no prorrateadas"),1316.49*(F937*G937),AND(D937=7,H937="Pagas prorrateadas"),1493.61*(F937*G937),AND(D937=7,H937="Pagas no prorrateadas"),1280.24*(F937*G937)))</f>
        <v/>
      </c>
      <c r="K937" s="106" t="str">
        <f aca="false">IF(A937="","",IF(J937-I937&gt;=0,"OK",J937-I937))</f>
        <v/>
      </c>
    </row>
    <row r="938" customFormat="false" ht="14.25" hidden="false" customHeight="true" outlineLevel="0" collapsed="false">
      <c r="A938" s="106"/>
      <c r="B938" s="106"/>
      <c r="C938" s="107"/>
      <c r="D938" s="106"/>
      <c r="E938" s="106"/>
      <c r="F938" s="108"/>
      <c r="G938" s="108"/>
      <c r="H938" s="106"/>
      <c r="I938" s="107"/>
      <c r="J938" s="131" t="str">
        <f aca="false" t="array" ref="J938:J938">IF(A938="","",ifs(AND(D938=1,H938="Pagas prorrateadas"),2705.41*(F938*G938),AND(D938=1,H938="Pagas no prorrateadas"),2318.93*(F938*G938),AND(D938=2,H938="Pagas prorrateadas"),2246.07*(F938*G938),AND(D938=2,H938="Pagas no prorrateadas"),1925.21*(F938*G938),AND(D938=3,H938="Pagas prorrateadas"),1775.44*(F938*G938),AND(D938=3,H938="Pagas no prorrateadas"),1521.81*(F938*G938),AND(D938=5,H938="Pagas prorrateadas"),1535.9*(F938*G938),AND(D938=5,H938="Pagas no prorrateadas"),1316.49*(F938*G938),AND(D938=7,H938="Pagas prorrateadas"),1493.61*(F938*G938),AND(D938=7,H938="Pagas no prorrateadas"),1280.24*(F938*G938)))</f>
        <v/>
      </c>
      <c r="K938" s="106" t="str">
        <f aca="false">IF(A938="","",IF(J938-I938&gt;=0,"OK",J938-I938))</f>
        <v/>
      </c>
    </row>
    <row r="939" customFormat="false" ht="14.25" hidden="false" customHeight="true" outlineLevel="0" collapsed="false">
      <c r="A939" s="106"/>
      <c r="B939" s="106"/>
      <c r="C939" s="107"/>
      <c r="D939" s="106"/>
      <c r="E939" s="106"/>
      <c r="F939" s="108"/>
      <c r="G939" s="108"/>
      <c r="H939" s="106"/>
      <c r="I939" s="107"/>
      <c r="J939" s="131" t="str">
        <f aca="false" t="array" ref="J939:J939">IF(A939="","",ifs(AND(D939=1,H939="Pagas prorrateadas"),2705.41*(F939*G939),AND(D939=1,H939="Pagas no prorrateadas"),2318.93*(F939*G939),AND(D939=2,H939="Pagas prorrateadas"),2246.07*(F939*G939),AND(D939=2,H939="Pagas no prorrateadas"),1925.21*(F939*G939),AND(D939=3,H939="Pagas prorrateadas"),1775.44*(F939*G939),AND(D939=3,H939="Pagas no prorrateadas"),1521.81*(F939*G939),AND(D939=5,H939="Pagas prorrateadas"),1535.9*(F939*G939),AND(D939=5,H939="Pagas no prorrateadas"),1316.49*(F939*G939),AND(D939=7,H939="Pagas prorrateadas"),1493.61*(F939*G939),AND(D939=7,H939="Pagas no prorrateadas"),1280.24*(F939*G939)))</f>
        <v/>
      </c>
      <c r="K939" s="106" t="str">
        <f aca="false">IF(A939="","",IF(J939-I939&gt;=0,"OK",J939-I939))</f>
        <v/>
      </c>
    </row>
    <row r="940" customFormat="false" ht="14.25" hidden="false" customHeight="true" outlineLevel="0" collapsed="false">
      <c r="A940" s="106"/>
      <c r="B940" s="106"/>
      <c r="C940" s="107"/>
      <c r="D940" s="106"/>
      <c r="E940" s="106"/>
      <c r="F940" s="108"/>
      <c r="G940" s="108"/>
      <c r="H940" s="106"/>
      <c r="I940" s="107"/>
      <c r="J940" s="131" t="str">
        <f aca="false" t="array" ref="J940:J940">IF(A940="","",ifs(AND(D940=1,H940="Pagas prorrateadas"),2705.41*(F940*G940),AND(D940=1,H940="Pagas no prorrateadas"),2318.93*(F940*G940),AND(D940=2,H940="Pagas prorrateadas"),2246.07*(F940*G940),AND(D940=2,H940="Pagas no prorrateadas"),1925.21*(F940*G940),AND(D940=3,H940="Pagas prorrateadas"),1775.44*(F940*G940),AND(D940=3,H940="Pagas no prorrateadas"),1521.81*(F940*G940),AND(D940=5,H940="Pagas prorrateadas"),1535.9*(F940*G940),AND(D940=5,H940="Pagas no prorrateadas"),1316.49*(F940*G940),AND(D940=7,H940="Pagas prorrateadas"),1493.61*(F940*G940),AND(D940=7,H940="Pagas no prorrateadas"),1280.24*(F940*G940)))</f>
        <v/>
      </c>
      <c r="K940" s="106" t="str">
        <f aca="false">IF(A940="","",IF(J940-I940&gt;=0,"OK",J940-I940))</f>
        <v/>
      </c>
    </row>
    <row r="941" customFormat="false" ht="14.25" hidden="false" customHeight="true" outlineLevel="0" collapsed="false">
      <c r="A941" s="106"/>
      <c r="B941" s="106"/>
      <c r="C941" s="107"/>
      <c r="D941" s="106"/>
      <c r="E941" s="106"/>
      <c r="F941" s="108"/>
      <c r="G941" s="108"/>
      <c r="H941" s="106"/>
      <c r="I941" s="107"/>
      <c r="J941" s="131" t="str">
        <f aca="false" t="array" ref="J941:J941">IF(A941="","",ifs(AND(D941=1,H941="Pagas prorrateadas"),2705.41*(F941*G941),AND(D941=1,H941="Pagas no prorrateadas"),2318.93*(F941*G941),AND(D941=2,H941="Pagas prorrateadas"),2246.07*(F941*G941),AND(D941=2,H941="Pagas no prorrateadas"),1925.21*(F941*G941),AND(D941=3,H941="Pagas prorrateadas"),1775.44*(F941*G941),AND(D941=3,H941="Pagas no prorrateadas"),1521.81*(F941*G941),AND(D941=5,H941="Pagas prorrateadas"),1535.9*(F941*G941),AND(D941=5,H941="Pagas no prorrateadas"),1316.49*(F941*G941),AND(D941=7,H941="Pagas prorrateadas"),1493.61*(F941*G941),AND(D941=7,H941="Pagas no prorrateadas"),1280.24*(F941*G941)))</f>
        <v/>
      </c>
      <c r="K941" s="106" t="str">
        <f aca="false">IF(A941="","",IF(J941-I941&gt;=0,"OK",J941-I941))</f>
        <v/>
      </c>
    </row>
    <row r="942" customFormat="false" ht="14.25" hidden="false" customHeight="true" outlineLevel="0" collapsed="false">
      <c r="A942" s="106"/>
      <c r="B942" s="106"/>
      <c r="C942" s="107"/>
      <c r="D942" s="106"/>
      <c r="E942" s="106"/>
      <c r="F942" s="108"/>
      <c r="G942" s="108"/>
      <c r="H942" s="106"/>
      <c r="I942" s="107"/>
      <c r="J942" s="131" t="str">
        <f aca="false" t="array" ref="J942:J942">IF(A942="","",ifs(AND(D942=1,H942="Pagas prorrateadas"),2705.41*(F942*G942),AND(D942=1,H942="Pagas no prorrateadas"),2318.93*(F942*G942),AND(D942=2,H942="Pagas prorrateadas"),2246.07*(F942*G942),AND(D942=2,H942="Pagas no prorrateadas"),1925.21*(F942*G942),AND(D942=3,H942="Pagas prorrateadas"),1775.44*(F942*G942),AND(D942=3,H942="Pagas no prorrateadas"),1521.81*(F942*G942),AND(D942=5,H942="Pagas prorrateadas"),1535.9*(F942*G942),AND(D942=5,H942="Pagas no prorrateadas"),1316.49*(F942*G942),AND(D942=7,H942="Pagas prorrateadas"),1493.61*(F942*G942),AND(D942=7,H942="Pagas no prorrateadas"),1280.24*(F942*G942)))</f>
        <v/>
      </c>
      <c r="K942" s="106" t="str">
        <f aca="false">IF(A942="","",IF(J942-I942&gt;=0,"OK",J942-I942))</f>
        <v/>
      </c>
    </row>
    <row r="943" customFormat="false" ht="14.25" hidden="false" customHeight="true" outlineLevel="0" collapsed="false">
      <c r="A943" s="106"/>
      <c r="B943" s="106"/>
      <c r="C943" s="107"/>
      <c r="D943" s="106"/>
      <c r="E943" s="106"/>
      <c r="F943" s="108"/>
      <c r="G943" s="108"/>
      <c r="H943" s="106"/>
      <c r="I943" s="107"/>
      <c r="J943" s="131" t="str">
        <f aca="false" t="array" ref="J943:J943">IF(A943="","",ifs(AND(D943=1,H943="Pagas prorrateadas"),2705.41*(F943*G943),AND(D943=1,H943="Pagas no prorrateadas"),2318.93*(F943*G943),AND(D943=2,H943="Pagas prorrateadas"),2246.07*(F943*G943),AND(D943=2,H943="Pagas no prorrateadas"),1925.21*(F943*G943),AND(D943=3,H943="Pagas prorrateadas"),1775.44*(F943*G943),AND(D943=3,H943="Pagas no prorrateadas"),1521.81*(F943*G943),AND(D943=5,H943="Pagas prorrateadas"),1535.9*(F943*G943),AND(D943=5,H943="Pagas no prorrateadas"),1316.49*(F943*G943),AND(D943=7,H943="Pagas prorrateadas"),1493.61*(F943*G943),AND(D943=7,H943="Pagas no prorrateadas"),1280.24*(F943*G943)))</f>
        <v/>
      </c>
      <c r="K943" s="106" t="str">
        <f aca="false">IF(A943="","",IF(J943-I943&gt;=0,"OK",J943-I943))</f>
        <v/>
      </c>
    </row>
    <row r="944" customFormat="false" ht="14.25" hidden="false" customHeight="true" outlineLevel="0" collapsed="false">
      <c r="A944" s="106"/>
      <c r="B944" s="106"/>
      <c r="C944" s="107"/>
      <c r="D944" s="106"/>
      <c r="E944" s="106"/>
      <c r="F944" s="108"/>
      <c r="G944" s="108"/>
      <c r="H944" s="106"/>
      <c r="I944" s="107"/>
      <c r="J944" s="131" t="str">
        <f aca="false" t="array" ref="J944:J944">IF(A944="","",ifs(AND(D944=1,H944="Pagas prorrateadas"),2705.41*(F944*G944),AND(D944=1,H944="Pagas no prorrateadas"),2318.93*(F944*G944),AND(D944=2,H944="Pagas prorrateadas"),2246.07*(F944*G944),AND(D944=2,H944="Pagas no prorrateadas"),1925.21*(F944*G944),AND(D944=3,H944="Pagas prorrateadas"),1775.44*(F944*G944),AND(D944=3,H944="Pagas no prorrateadas"),1521.81*(F944*G944),AND(D944=5,H944="Pagas prorrateadas"),1535.9*(F944*G944),AND(D944=5,H944="Pagas no prorrateadas"),1316.49*(F944*G944),AND(D944=7,H944="Pagas prorrateadas"),1493.61*(F944*G944),AND(D944=7,H944="Pagas no prorrateadas"),1280.24*(F944*G944)))</f>
        <v/>
      </c>
      <c r="K944" s="106" t="str">
        <f aca="false">IF(A944="","",IF(J944-I944&gt;=0,"OK",J944-I944))</f>
        <v/>
      </c>
    </row>
    <row r="945" customFormat="false" ht="14.25" hidden="false" customHeight="true" outlineLevel="0" collapsed="false">
      <c r="A945" s="106"/>
      <c r="B945" s="106"/>
      <c r="C945" s="107"/>
      <c r="D945" s="106"/>
      <c r="E945" s="106"/>
      <c r="F945" s="108"/>
      <c r="G945" s="108"/>
      <c r="H945" s="106"/>
      <c r="I945" s="107"/>
      <c r="J945" s="131" t="str">
        <f aca="false" t="array" ref="J945:J945">IF(A945="","",ifs(AND(D945=1,H945="Pagas prorrateadas"),2705.41*(F945*G945),AND(D945=1,H945="Pagas no prorrateadas"),2318.93*(F945*G945),AND(D945=2,H945="Pagas prorrateadas"),2246.07*(F945*G945),AND(D945=2,H945="Pagas no prorrateadas"),1925.21*(F945*G945),AND(D945=3,H945="Pagas prorrateadas"),1775.44*(F945*G945),AND(D945=3,H945="Pagas no prorrateadas"),1521.81*(F945*G945),AND(D945=5,H945="Pagas prorrateadas"),1535.9*(F945*G945),AND(D945=5,H945="Pagas no prorrateadas"),1316.49*(F945*G945),AND(D945=7,H945="Pagas prorrateadas"),1493.61*(F945*G945),AND(D945=7,H945="Pagas no prorrateadas"),1280.24*(F945*G945)))</f>
        <v/>
      </c>
      <c r="K945" s="106" t="str">
        <f aca="false">IF(A945="","",IF(J945-I945&gt;=0,"OK",J945-I945))</f>
        <v/>
      </c>
    </row>
    <row r="946" customFormat="false" ht="14.25" hidden="false" customHeight="true" outlineLevel="0" collapsed="false">
      <c r="A946" s="106"/>
      <c r="B946" s="106"/>
      <c r="C946" s="107"/>
      <c r="D946" s="106"/>
      <c r="E946" s="106"/>
      <c r="F946" s="108"/>
      <c r="G946" s="108"/>
      <c r="H946" s="106"/>
      <c r="I946" s="107"/>
      <c r="J946" s="131" t="str">
        <f aca="false" t="array" ref="J946:J946">IF(A946="","",ifs(AND(D946=1,H946="Pagas prorrateadas"),2705.41*(F946*G946),AND(D946=1,H946="Pagas no prorrateadas"),2318.93*(F946*G946),AND(D946=2,H946="Pagas prorrateadas"),2246.07*(F946*G946),AND(D946=2,H946="Pagas no prorrateadas"),1925.21*(F946*G946),AND(D946=3,H946="Pagas prorrateadas"),1775.44*(F946*G946),AND(D946=3,H946="Pagas no prorrateadas"),1521.81*(F946*G946),AND(D946=5,H946="Pagas prorrateadas"),1535.9*(F946*G946),AND(D946=5,H946="Pagas no prorrateadas"),1316.49*(F946*G946),AND(D946=7,H946="Pagas prorrateadas"),1493.61*(F946*G946),AND(D946=7,H946="Pagas no prorrateadas"),1280.24*(F946*G946)))</f>
        <v/>
      </c>
      <c r="K946" s="106" t="str">
        <f aca="false">IF(A946="","",IF(J946-I946&gt;=0,"OK",J946-I946))</f>
        <v/>
      </c>
    </row>
    <row r="947" customFormat="false" ht="14.25" hidden="false" customHeight="true" outlineLevel="0" collapsed="false">
      <c r="A947" s="106"/>
      <c r="B947" s="106"/>
      <c r="C947" s="107"/>
      <c r="D947" s="106"/>
      <c r="E947" s="106"/>
      <c r="F947" s="108"/>
      <c r="G947" s="108"/>
      <c r="H947" s="106"/>
      <c r="I947" s="107"/>
      <c r="J947" s="131" t="str">
        <f aca="false" t="array" ref="J947:J947">IF(A947="","",ifs(AND(D947=1,H947="Pagas prorrateadas"),2705.41*(F947*G947),AND(D947=1,H947="Pagas no prorrateadas"),2318.93*(F947*G947),AND(D947=2,H947="Pagas prorrateadas"),2246.07*(F947*G947),AND(D947=2,H947="Pagas no prorrateadas"),1925.21*(F947*G947),AND(D947=3,H947="Pagas prorrateadas"),1775.44*(F947*G947),AND(D947=3,H947="Pagas no prorrateadas"),1521.81*(F947*G947),AND(D947=5,H947="Pagas prorrateadas"),1535.9*(F947*G947),AND(D947=5,H947="Pagas no prorrateadas"),1316.49*(F947*G947),AND(D947=7,H947="Pagas prorrateadas"),1493.61*(F947*G947),AND(D947=7,H947="Pagas no prorrateadas"),1280.24*(F947*G947)))</f>
        <v/>
      </c>
      <c r="K947" s="106" t="str">
        <f aca="false">IF(A947="","",IF(J947-I947&gt;=0,"OK",J947-I947))</f>
        <v/>
      </c>
    </row>
    <row r="948" customFormat="false" ht="14.25" hidden="false" customHeight="true" outlineLevel="0" collapsed="false">
      <c r="A948" s="106"/>
      <c r="B948" s="106"/>
      <c r="C948" s="107"/>
      <c r="D948" s="106"/>
      <c r="E948" s="106"/>
      <c r="F948" s="108"/>
      <c r="G948" s="108"/>
      <c r="H948" s="106"/>
      <c r="I948" s="107"/>
      <c r="J948" s="131" t="str">
        <f aca="false" t="array" ref="J948:J948">IF(A948="","",ifs(AND(D948=1,H948="Pagas prorrateadas"),2705.41*(F948*G948),AND(D948=1,H948="Pagas no prorrateadas"),2318.93*(F948*G948),AND(D948=2,H948="Pagas prorrateadas"),2246.07*(F948*G948),AND(D948=2,H948="Pagas no prorrateadas"),1925.21*(F948*G948),AND(D948=3,H948="Pagas prorrateadas"),1775.44*(F948*G948),AND(D948=3,H948="Pagas no prorrateadas"),1521.81*(F948*G948),AND(D948=5,H948="Pagas prorrateadas"),1535.9*(F948*G948),AND(D948=5,H948="Pagas no prorrateadas"),1316.49*(F948*G948),AND(D948=7,H948="Pagas prorrateadas"),1493.61*(F948*G948),AND(D948=7,H948="Pagas no prorrateadas"),1280.24*(F948*G948)))</f>
        <v/>
      </c>
      <c r="K948" s="106" t="str">
        <f aca="false">IF(A948="","",IF(J948-I948&gt;=0,"OK",J948-I948))</f>
        <v/>
      </c>
    </row>
    <row r="949" customFormat="false" ht="14.25" hidden="false" customHeight="true" outlineLevel="0" collapsed="false">
      <c r="A949" s="106"/>
      <c r="B949" s="106"/>
      <c r="C949" s="107"/>
      <c r="D949" s="106"/>
      <c r="E949" s="106"/>
      <c r="F949" s="108"/>
      <c r="G949" s="108"/>
      <c r="H949" s="106"/>
      <c r="I949" s="107"/>
      <c r="J949" s="131" t="str">
        <f aca="false" t="array" ref="J949:J949">IF(A949="","",ifs(AND(D949=1,H949="Pagas prorrateadas"),2705.41*(F949*G949),AND(D949=1,H949="Pagas no prorrateadas"),2318.93*(F949*G949),AND(D949=2,H949="Pagas prorrateadas"),2246.07*(F949*G949),AND(D949=2,H949="Pagas no prorrateadas"),1925.21*(F949*G949),AND(D949=3,H949="Pagas prorrateadas"),1775.44*(F949*G949),AND(D949=3,H949="Pagas no prorrateadas"),1521.81*(F949*G949),AND(D949=5,H949="Pagas prorrateadas"),1535.9*(F949*G949),AND(D949=5,H949="Pagas no prorrateadas"),1316.49*(F949*G949),AND(D949=7,H949="Pagas prorrateadas"),1493.61*(F949*G949),AND(D949=7,H949="Pagas no prorrateadas"),1280.24*(F949*G949)))</f>
        <v/>
      </c>
      <c r="K949" s="106" t="str">
        <f aca="false">IF(A949="","",IF(J949-I949&gt;=0,"OK",J949-I949))</f>
        <v/>
      </c>
    </row>
    <row r="950" customFormat="false" ht="14.25" hidden="false" customHeight="true" outlineLevel="0" collapsed="false">
      <c r="A950" s="106"/>
      <c r="B950" s="106"/>
      <c r="C950" s="107"/>
      <c r="D950" s="106"/>
      <c r="E950" s="106"/>
      <c r="F950" s="108"/>
      <c r="G950" s="108"/>
      <c r="H950" s="106"/>
      <c r="I950" s="107"/>
      <c r="J950" s="131" t="str">
        <f aca="false" t="array" ref="J950:J950">IF(A950="","",ifs(AND(D950=1,H950="Pagas prorrateadas"),2705.41*(F950*G950),AND(D950=1,H950="Pagas no prorrateadas"),2318.93*(F950*G950),AND(D950=2,H950="Pagas prorrateadas"),2246.07*(F950*G950),AND(D950=2,H950="Pagas no prorrateadas"),1925.21*(F950*G950),AND(D950=3,H950="Pagas prorrateadas"),1775.44*(F950*G950),AND(D950=3,H950="Pagas no prorrateadas"),1521.81*(F950*G950),AND(D950=5,H950="Pagas prorrateadas"),1535.9*(F950*G950),AND(D950=5,H950="Pagas no prorrateadas"),1316.49*(F950*G950),AND(D950=7,H950="Pagas prorrateadas"),1493.61*(F950*G950),AND(D950=7,H950="Pagas no prorrateadas"),1280.24*(F950*G950)))</f>
        <v/>
      </c>
      <c r="K950" s="106" t="str">
        <f aca="false">IF(A950="","",IF(J950-I950&gt;=0,"OK",J950-I950))</f>
        <v/>
      </c>
    </row>
    <row r="951" customFormat="false" ht="14.25" hidden="false" customHeight="true" outlineLevel="0" collapsed="false">
      <c r="A951" s="106"/>
      <c r="B951" s="106"/>
      <c r="C951" s="107"/>
      <c r="D951" s="106"/>
      <c r="E951" s="106"/>
      <c r="F951" s="108"/>
      <c r="G951" s="108"/>
      <c r="H951" s="106"/>
      <c r="I951" s="107"/>
      <c r="J951" s="131" t="str">
        <f aca="false" t="array" ref="J951:J951">IF(A951="","",ifs(AND(D951=1,H951="Pagas prorrateadas"),2705.41*(F951*G951),AND(D951=1,H951="Pagas no prorrateadas"),2318.93*(F951*G951),AND(D951=2,H951="Pagas prorrateadas"),2246.07*(F951*G951),AND(D951=2,H951="Pagas no prorrateadas"),1925.21*(F951*G951),AND(D951=3,H951="Pagas prorrateadas"),1775.44*(F951*G951),AND(D951=3,H951="Pagas no prorrateadas"),1521.81*(F951*G951),AND(D951=5,H951="Pagas prorrateadas"),1535.9*(F951*G951),AND(D951=5,H951="Pagas no prorrateadas"),1316.49*(F951*G951),AND(D951=7,H951="Pagas prorrateadas"),1493.61*(F951*G951),AND(D951=7,H951="Pagas no prorrateadas"),1280.24*(F951*G951)))</f>
        <v/>
      </c>
      <c r="K951" s="106" t="str">
        <f aca="false">IF(A951="","",IF(J951-I951&gt;=0,"OK",J951-I951))</f>
        <v/>
      </c>
    </row>
    <row r="952" customFormat="false" ht="14.25" hidden="false" customHeight="true" outlineLevel="0" collapsed="false">
      <c r="A952" s="106"/>
      <c r="B952" s="106"/>
      <c r="C952" s="107"/>
      <c r="D952" s="106"/>
      <c r="E952" s="106"/>
      <c r="F952" s="108"/>
      <c r="G952" s="108"/>
      <c r="H952" s="106"/>
      <c r="I952" s="107"/>
      <c r="J952" s="131" t="str">
        <f aca="false" t="array" ref="J952:J952">IF(A952="","",ifs(AND(D952=1,H952="Pagas prorrateadas"),2705.41*(F952*G952),AND(D952=1,H952="Pagas no prorrateadas"),2318.93*(F952*G952),AND(D952=2,H952="Pagas prorrateadas"),2246.07*(F952*G952),AND(D952=2,H952="Pagas no prorrateadas"),1925.21*(F952*G952),AND(D952=3,H952="Pagas prorrateadas"),1775.44*(F952*G952),AND(D952=3,H952="Pagas no prorrateadas"),1521.81*(F952*G952),AND(D952=5,H952="Pagas prorrateadas"),1535.9*(F952*G952),AND(D952=5,H952="Pagas no prorrateadas"),1316.49*(F952*G952),AND(D952=7,H952="Pagas prorrateadas"),1493.61*(F952*G952),AND(D952=7,H952="Pagas no prorrateadas"),1280.24*(F952*G952)))</f>
        <v/>
      </c>
      <c r="K952" s="106" t="str">
        <f aca="false">IF(A952="","",IF(J952-I952&gt;=0,"OK",J952-I952))</f>
        <v/>
      </c>
    </row>
    <row r="953" customFormat="false" ht="14.25" hidden="false" customHeight="true" outlineLevel="0" collapsed="false">
      <c r="A953" s="106"/>
      <c r="B953" s="106"/>
      <c r="C953" s="107"/>
      <c r="D953" s="106"/>
      <c r="E953" s="106"/>
      <c r="F953" s="108"/>
      <c r="G953" s="108"/>
      <c r="H953" s="106"/>
      <c r="I953" s="107"/>
      <c r="J953" s="131" t="str">
        <f aca="false" t="array" ref="J953:J953">IF(A953="","",ifs(AND(D953=1,H953="Pagas prorrateadas"),2705.41*(F953*G953),AND(D953=1,H953="Pagas no prorrateadas"),2318.93*(F953*G953),AND(D953=2,H953="Pagas prorrateadas"),2246.07*(F953*G953),AND(D953=2,H953="Pagas no prorrateadas"),1925.21*(F953*G953),AND(D953=3,H953="Pagas prorrateadas"),1775.44*(F953*G953),AND(D953=3,H953="Pagas no prorrateadas"),1521.81*(F953*G953),AND(D953=5,H953="Pagas prorrateadas"),1535.9*(F953*G953),AND(D953=5,H953="Pagas no prorrateadas"),1316.49*(F953*G953),AND(D953=7,H953="Pagas prorrateadas"),1493.61*(F953*G953),AND(D953=7,H953="Pagas no prorrateadas"),1280.24*(F953*G953)))</f>
        <v/>
      </c>
      <c r="K953" s="106" t="str">
        <f aca="false">IF(A953="","",IF(J953-I953&gt;=0,"OK",J953-I953))</f>
        <v/>
      </c>
    </row>
    <row r="954" customFormat="false" ht="14.25" hidden="false" customHeight="true" outlineLevel="0" collapsed="false">
      <c r="A954" s="106"/>
      <c r="B954" s="106"/>
      <c r="C954" s="107"/>
      <c r="D954" s="106"/>
      <c r="E954" s="106"/>
      <c r="F954" s="108"/>
      <c r="G954" s="108"/>
      <c r="H954" s="106"/>
      <c r="I954" s="107"/>
      <c r="J954" s="131" t="str">
        <f aca="false" t="array" ref="J954:J954">IF(A954="","",ifs(AND(D954=1,H954="Pagas prorrateadas"),2705.41*(F954*G954),AND(D954=1,H954="Pagas no prorrateadas"),2318.93*(F954*G954),AND(D954=2,H954="Pagas prorrateadas"),2246.07*(F954*G954),AND(D954=2,H954="Pagas no prorrateadas"),1925.21*(F954*G954),AND(D954=3,H954="Pagas prorrateadas"),1775.44*(F954*G954),AND(D954=3,H954="Pagas no prorrateadas"),1521.81*(F954*G954),AND(D954=5,H954="Pagas prorrateadas"),1535.9*(F954*G954),AND(D954=5,H954="Pagas no prorrateadas"),1316.49*(F954*G954),AND(D954=7,H954="Pagas prorrateadas"),1493.61*(F954*G954),AND(D954=7,H954="Pagas no prorrateadas"),1280.24*(F954*G954)))</f>
        <v/>
      </c>
      <c r="K954" s="106" t="str">
        <f aca="false">IF(A954="","",IF(J954-I954&gt;=0,"OK",J954-I954))</f>
        <v/>
      </c>
    </row>
    <row r="955" customFormat="false" ht="14.25" hidden="false" customHeight="true" outlineLevel="0" collapsed="false">
      <c r="A955" s="106"/>
      <c r="B955" s="106"/>
      <c r="C955" s="107"/>
      <c r="D955" s="106"/>
      <c r="E955" s="106"/>
      <c r="F955" s="108"/>
      <c r="G955" s="108"/>
      <c r="H955" s="106"/>
      <c r="I955" s="107"/>
      <c r="J955" s="131" t="str">
        <f aca="false" t="array" ref="J955:J955">IF(A955="","",ifs(AND(D955=1,H955="Pagas prorrateadas"),2705.41*(F955*G955),AND(D955=1,H955="Pagas no prorrateadas"),2318.93*(F955*G955),AND(D955=2,H955="Pagas prorrateadas"),2246.07*(F955*G955),AND(D955=2,H955="Pagas no prorrateadas"),1925.21*(F955*G955),AND(D955=3,H955="Pagas prorrateadas"),1775.44*(F955*G955),AND(D955=3,H955="Pagas no prorrateadas"),1521.81*(F955*G955),AND(D955=5,H955="Pagas prorrateadas"),1535.9*(F955*G955),AND(D955=5,H955="Pagas no prorrateadas"),1316.49*(F955*G955),AND(D955=7,H955="Pagas prorrateadas"),1493.61*(F955*G955),AND(D955=7,H955="Pagas no prorrateadas"),1280.24*(F955*G955)))</f>
        <v/>
      </c>
      <c r="K955" s="106" t="str">
        <f aca="false">IF(A955="","",IF(J955-I955&gt;=0,"OK",J955-I955))</f>
        <v/>
      </c>
    </row>
    <row r="956" customFormat="false" ht="14.25" hidden="false" customHeight="true" outlineLevel="0" collapsed="false">
      <c r="A956" s="106"/>
      <c r="B956" s="106"/>
      <c r="C956" s="107"/>
      <c r="D956" s="106"/>
      <c r="E956" s="106"/>
      <c r="F956" s="108"/>
      <c r="G956" s="108"/>
      <c r="H956" s="106"/>
      <c r="I956" s="107"/>
      <c r="J956" s="131" t="str">
        <f aca="false" t="array" ref="J956:J956">IF(A956="","",ifs(AND(D956=1,H956="Pagas prorrateadas"),2705.41*(F956*G956),AND(D956=1,H956="Pagas no prorrateadas"),2318.93*(F956*G956),AND(D956=2,H956="Pagas prorrateadas"),2246.07*(F956*G956),AND(D956=2,H956="Pagas no prorrateadas"),1925.21*(F956*G956),AND(D956=3,H956="Pagas prorrateadas"),1775.44*(F956*G956),AND(D956=3,H956="Pagas no prorrateadas"),1521.81*(F956*G956),AND(D956=5,H956="Pagas prorrateadas"),1535.9*(F956*G956),AND(D956=5,H956="Pagas no prorrateadas"),1316.49*(F956*G956),AND(D956=7,H956="Pagas prorrateadas"),1493.61*(F956*G956),AND(D956=7,H956="Pagas no prorrateadas"),1280.24*(F956*G956)))</f>
        <v/>
      </c>
      <c r="K956" s="106" t="str">
        <f aca="false">IF(A956="","",IF(J956-I956&gt;=0,"OK",J956-I956))</f>
        <v/>
      </c>
    </row>
    <row r="957" customFormat="false" ht="14.25" hidden="false" customHeight="true" outlineLevel="0" collapsed="false">
      <c r="A957" s="106"/>
      <c r="B957" s="106"/>
      <c r="C957" s="107"/>
      <c r="D957" s="106"/>
      <c r="E957" s="106"/>
      <c r="F957" s="108"/>
      <c r="G957" s="108"/>
      <c r="H957" s="106"/>
      <c r="I957" s="107"/>
      <c r="J957" s="131" t="str">
        <f aca="false" t="array" ref="J957:J957">IF(A957="","",ifs(AND(D957=1,H957="Pagas prorrateadas"),2705.41*(F957*G957),AND(D957=1,H957="Pagas no prorrateadas"),2318.93*(F957*G957),AND(D957=2,H957="Pagas prorrateadas"),2246.07*(F957*G957),AND(D957=2,H957="Pagas no prorrateadas"),1925.21*(F957*G957),AND(D957=3,H957="Pagas prorrateadas"),1775.44*(F957*G957),AND(D957=3,H957="Pagas no prorrateadas"),1521.81*(F957*G957),AND(D957=5,H957="Pagas prorrateadas"),1535.9*(F957*G957),AND(D957=5,H957="Pagas no prorrateadas"),1316.49*(F957*G957),AND(D957=7,H957="Pagas prorrateadas"),1493.61*(F957*G957),AND(D957=7,H957="Pagas no prorrateadas"),1280.24*(F957*G957)))</f>
        <v/>
      </c>
      <c r="K957" s="106" t="str">
        <f aca="false">IF(A957="","",IF(J957-I957&gt;=0,"OK",J957-I957))</f>
        <v/>
      </c>
    </row>
    <row r="958" customFormat="false" ht="14.25" hidden="false" customHeight="true" outlineLevel="0" collapsed="false">
      <c r="A958" s="106"/>
      <c r="B958" s="106"/>
      <c r="C958" s="107"/>
      <c r="D958" s="106"/>
      <c r="E958" s="106"/>
      <c r="F958" s="108"/>
      <c r="G958" s="108"/>
      <c r="H958" s="106"/>
      <c r="I958" s="107"/>
      <c r="J958" s="131" t="str">
        <f aca="false" t="array" ref="J958:J958">IF(A958="","",ifs(AND(D958=1,H958="Pagas prorrateadas"),2705.41*(F958*G958),AND(D958=1,H958="Pagas no prorrateadas"),2318.93*(F958*G958),AND(D958=2,H958="Pagas prorrateadas"),2246.07*(F958*G958),AND(D958=2,H958="Pagas no prorrateadas"),1925.21*(F958*G958),AND(D958=3,H958="Pagas prorrateadas"),1775.44*(F958*G958),AND(D958=3,H958="Pagas no prorrateadas"),1521.81*(F958*G958),AND(D958=5,H958="Pagas prorrateadas"),1535.9*(F958*G958),AND(D958=5,H958="Pagas no prorrateadas"),1316.49*(F958*G958),AND(D958=7,H958="Pagas prorrateadas"),1493.61*(F958*G958),AND(D958=7,H958="Pagas no prorrateadas"),1280.24*(F958*G958)))</f>
        <v/>
      </c>
      <c r="K958" s="106" t="str">
        <f aca="false">IF(A958="","",IF(J958-I958&gt;=0,"OK",J958-I958))</f>
        <v/>
      </c>
    </row>
    <row r="959" customFormat="false" ht="14.25" hidden="false" customHeight="true" outlineLevel="0" collapsed="false">
      <c r="A959" s="106"/>
      <c r="B959" s="106"/>
      <c r="C959" s="107"/>
      <c r="D959" s="106"/>
      <c r="E959" s="106"/>
      <c r="F959" s="108"/>
      <c r="G959" s="108"/>
      <c r="H959" s="106"/>
      <c r="I959" s="107"/>
      <c r="J959" s="131" t="str">
        <f aca="false" t="array" ref="J959:J959">IF(A959="","",ifs(AND(D959=1,H959="Pagas prorrateadas"),2705.41*(F959*G959),AND(D959=1,H959="Pagas no prorrateadas"),2318.93*(F959*G959),AND(D959=2,H959="Pagas prorrateadas"),2246.07*(F959*G959),AND(D959=2,H959="Pagas no prorrateadas"),1925.21*(F959*G959),AND(D959=3,H959="Pagas prorrateadas"),1775.44*(F959*G959),AND(D959=3,H959="Pagas no prorrateadas"),1521.81*(F959*G959),AND(D959=5,H959="Pagas prorrateadas"),1535.9*(F959*G959),AND(D959=5,H959="Pagas no prorrateadas"),1316.49*(F959*G959),AND(D959=7,H959="Pagas prorrateadas"),1493.61*(F959*G959),AND(D959=7,H959="Pagas no prorrateadas"),1280.24*(F959*G959)))</f>
        <v/>
      </c>
      <c r="K959" s="106" t="str">
        <f aca="false">IF(A959="","",IF(J959-I959&gt;=0,"OK",J959-I959))</f>
        <v/>
      </c>
    </row>
    <row r="960" customFormat="false" ht="14.25" hidden="false" customHeight="true" outlineLevel="0" collapsed="false">
      <c r="A960" s="106"/>
      <c r="B960" s="106"/>
      <c r="C960" s="107"/>
      <c r="D960" s="106"/>
      <c r="E960" s="106"/>
      <c r="F960" s="108"/>
      <c r="G960" s="108"/>
      <c r="H960" s="106"/>
      <c r="I960" s="107"/>
      <c r="J960" s="131" t="str">
        <f aca="false" t="array" ref="J960:J960">IF(A960="","",ifs(AND(D960=1,H960="Pagas prorrateadas"),2705.41*(F960*G960),AND(D960=1,H960="Pagas no prorrateadas"),2318.93*(F960*G960),AND(D960=2,H960="Pagas prorrateadas"),2246.07*(F960*G960),AND(D960=2,H960="Pagas no prorrateadas"),1925.21*(F960*G960),AND(D960=3,H960="Pagas prorrateadas"),1775.44*(F960*G960),AND(D960=3,H960="Pagas no prorrateadas"),1521.81*(F960*G960),AND(D960=5,H960="Pagas prorrateadas"),1535.9*(F960*G960),AND(D960=5,H960="Pagas no prorrateadas"),1316.49*(F960*G960),AND(D960=7,H960="Pagas prorrateadas"),1493.61*(F960*G960),AND(D960=7,H960="Pagas no prorrateadas"),1280.24*(F960*G960)))</f>
        <v/>
      </c>
      <c r="K960" s="106" t="str">
        <f aca="false">IF(A960="","",IF(J960-I960&gt;=0,"OK",J960-I960))</f>
        <v/>
      </c>
    </row>
    <row r="961" customFormat="false" ht="14.25" hidden="false" customHeight="true" outlineLevel="0" collapsed="false">
      <c r="A961" s="106"/>
      <c r="B961" s="106"/>
      <c r="C961" s="107"/>
      <c r="D961" s="106"/>
      <c r="E961" s="106"/>
      <c r="F961" s="108"/>
      <c r="G961" s="108"/>
      <c r="H961" s="106"/>
      <c r="I961" s="107"/>
      <c r="J961" s="131" t="str">
        <f aca="false" t="array" ref="J961:J961">IF(A961="","",ifs(AND(D961=1,H961="Pagas prorrateadas"),2705.41*(F961*G961),AND(D961=1,H961="Pagas no prorrateadas"),2318.93*(F961*G961),AND(D961=2,H961="Pagas prorrateadas"),2246.07*(F961*G961),AND(D961=2,H961="Pagas no prorrateadas"),1925.21*(F961*G961),AND(D961=3,H961="Pagas prorrateadas"),1775.44*(F961*G961),AND(D961=3,H961="Pagas no prorrateadas"),1521.81*(F961*G961),AND(D961=5,H961="Pagas prorrateadas"),1535.9*(F961*G961),AND(D961=5,H961="Pagas no prorrateadas"),1316.49*(F961*G961),AND(D961=7,H961="Pagas prorrateadas"),1493.61*(F961*G961),AND(D961=7,H961="Pagas no prorrateadas"),1280.24*(F961*G961)))</f>
        <v/>
      </c>
      <c r="K961" s="106" t="str">
        <f aca="false">IF(A961="","",IF(J961-I961&gt;=0,"OK",J961-I961))</f>
        <v/>
      </c>
    </row>
    <row r="962" customFormat="false" ht="14.25" hidden="false" customHeight="true" outlineLevel="0" collapsed="false">
      <c r="A962" s="106"/>
      <c r="B962" s="106"/>
      <c r="C962" s="107"/>
      <c r="D962" s="106"/>
      <c r="E962" s="106"/>
      <c r="F962" s="108"/>
      <c r="G962" s="108"/>
      <c r="H962" s="106"/>
      <c r="I962" s="107"/>
      <c r="J962" s="131" t="str">
        <f aca="false" t="array" ref="J962:J962">IF(A962="","",ifs(AND(D962=1,H962="Pagas prorrateadas"),2705.41*(F962*G962),AND(D962=1,H962="Pagas no prorrateadas"),2318.93*(F962*G962),AND(D962=2,H962="Pagas prorrateadas"),2246.07*(F962*G962),AND(D962=2,H962="Pagas no prorrateadas"),1925.21*(F962*G962),AND(D962=3,H962="Pagas prorrateadas"),1775.44*(F962*G962),AND(D962=3,H962="Pagas no prorrateadas"),1521.81*(F962*G962),AND(D962=5,H962="Pagas prorrateadas"),1535.9*(F962*G962),AND(D962=5,H962="Pagas no prorrateadas"),1316.49*(F962*G962),AND(D962=7,H962="Pagas prorrateadas"),1493.61*(F962*G962),AND(D962=7,H962="Pagas no prorrateadas"),1280.24*(F962*G962)))</f>
        <v/>
      </c>
      <c r="K962" s="106" t="str">
        <f aca="false">IF(A962="","",IF(J962-I962&gt;=0,"OK",J962-I962))</f>
        <v/>
      </c>
    </row>
    <row r="963" customFormat="false" ht="14.25" hidden="false" customHeight="true" outlineLevel="0" collapsed="false">
      <c r="A963" s="106"/>
      <c r="B963" s="106"/>
      <c r="C963" s="107"/>
      <c r="D963" s="106"/>
      <c r="E963" s="106"/>
      <c r="F963" s="108"/>
      <c r="G963" s="108"/>
      <c r="H963" s="106"/>
      <c r="I963" s="107"/>
      <c r="J963" s="131" t="str">
        <f aca="false" t="array" ref="J963:J963">IF(A963="","",ifs(AND(D963=1,H963="Pagas prorrateadas"),2705.41*(F963*G963),AND(D963=1,H963="Pagas no prorrateadas"),2318.93*(F963*G963),AND(D963=2,H963="Pagas prorrateadas"),2246.07*(F963*G963),AND(D963=2,H963="Pagas no prorrateadas"),1925.21*(F963*G963),AND(D963=3,H963="Pagas prorrateadas"),1775.44*(F963*G963),AND(D963=3,H963="Pagas no prorrateadas"),1521.81*(F963*G963),AND(D963=5,H963="Pagas prorrateadas"),1535.9*(F963*G963),AND(D963=5,H963="Pagas no prorrateadas"),1316.49*(F963*G963),AND(D963=7,H963="Pagas prorrateadas"),1493.61*(F963*G963),AND(D963=7,H963="Pagas no prorrateadas"),1280.24*(F963*G963)))</f>
        <v/>
      </c>
      <c r="K963" s="106" t="str">
        <f aca="false">IF(A963="","",IF(J963-I963&gt;=0,"OK",J963-I963))</f>
        <v/>
      </c>
    </row>
    <row r="964" customFormat="false" ht="14.25" hidden="false" customHeight="true" outlineLevel="0" collapsed="false">
      <c r="A964" s="106"/>
      <c r="B964" s="106"/>
      <c r="C964" s="107"/>
      <c r="D964" s="106"/>
      <c r="E964" s="106"/>
      <c r="F964" s="108"/>
      <c r="G964" s="108"/>
      <c r="H964" s="106"/>
      <c r="I964" s="107"/>
      <c r="J964" s="131" t="str">
        <f aca="false" t="array" ref="J964:J964">IF(A964="","",ifs(AND(D964=1,H964="Pagas prorrateadas"),2705.41*(F964*G964),AND(D964=1,H964="Pagas no prorrateadas"),2318.93*(F964*G964),AND(D964=2,H964="Pagas prorrateadas"),2246.07*(F964*G964),AND(D964=2,H964="Pagas no prorrateadas"),1925.21*(F964*G964),AND(D964=3,H964="Pagas prorrateadas"),1775.44*(F964*G964),AND(D964=3,H964="Pagas no prorrateadas"),1521.81*(F964*G964),AND(D964=5,H964="Pagas prorrateadas"),1535.9*(F964*G964),AND(D964=5,H964="Pagas no prorrateadas"),1316.49*(F964*G964),AND(D964=7,H964="Pagas prorrateadas"),1493.61*(F964*G964),AND(D964=7,H964="Pagas no prorrateadas"),1280.24*(F964*G964)))</f>
        <v/>
      </c>
      <c r="K964" s="106" t="str">
        <f aca="false">IF(A964="","",IF(J964-I964&gt;=0,"OK",J964-I964))</f>
        <v/>
      </c>
    </row>
    <row r="965" customFormat="false" ht="14.25" hidden="false" customHeight="true" outlineLevel="0" collapsed="false">
      <c r="A965" s="106"/>
      <c r="B965" s="106"/>
      <c r="C965" s="107"/>
      <c r="D965" s="106"/>
      <c r="E965" s="106"/>
      <c r="F965" s="108"/>
      <c r="G965" s="108"/>
      <c r="H965" s="106"/>
      <c r="I965" s="107"/>
      <c r="J965" s="131" t="str">
        <f aca="false" t="array" ref="J965:J965">IF(A965="","",ifs(AND(D965=1,H965="Pagas prorrateadas"),2705.41*(F965*G965),AND(D965=1,H965="Pagas no prorrateadas"),2318.93*(F965*G965),AND(D965=2,H965="Pagas prorrateadas"),2246.07*(F965*G965),AND(D965=2,H965="Pagas no prorrateadas"),1925.21*(F965*G965),AND(D965=3,H965="Pagas prorrateadas"),1775.44*(F965*G965),AND(D965=3,H965="Pagas no prorrateadas"),1521.81*(F965*G965),AND(D965=5,H965="Pagas prorrateadas"),1535.9*(F965*G965),AND(D965=5,H965="Pagas no prorrateadas"),1316.49*(F965*G965),AND(D965=7,H965="Pagas prorrateadas"),1493.61*(F965*G965),AND(D965=7,H965="Pagas no prorrateadas"),1280.24*(F965*G965)))</f>
        <v/>
      </c>
      <c r="K965" s="106" t="str">
        <f aca="false">IF(A965="","",IF(J965-I965&gt;=0,"OK",J965-I965))</f>
        <v/>
      </c>
    </row>
    <row r="966" customFormat="false" ht="14.25" hidden="false" customHeight="true" outlineLevel="0" collapsed="false">
      <c r="A966" s="106"/>
      <c r="B966" s="106"/>
      <c r="C966" s="107"/>
      <c r="D966" s="106"/>
      <c r="E966" s="106"/>
      <c r="F966" s="108"/>
      <c r="G966" s="108"/>
      <c r="H966" s="106"/>
      <c r="I966" s="107"/>
      <c r="J966" s="131" t="str">
        <f aca="false" t="array" ref="J966:J966">IF(A966="","",ifs(AND(D966=1,H966="Pagas prorrateadas"),2705.41*(F966*G966),AND(D966=1,H966="Pagas no prorrateadas"),2318.93*(F966*G966),AND(D966=2,H966="Pagas prorrateadas"),2246.07*(F966*G966),AND(D966=2,H966="Pagas no prorrateadas"),1925.21*(F966*G966),AND(D966=3,H966="Pagas prorrateadas"),1775.44*(F966*G966),AND(D966=3,H966="Pagas no prorrateadas"),1521.81*(F966*G966),AND(D966=5,H966="Pagas prorrateadas"),1535.9*(F966*G966),AND(D966=5,H966="Pagas no prorrateadas"),1316.49*(F966*G966),AND(D966=7,H966="Pagas prorrateadas"),1493.61*(F966*G966),AND(D966=7,H966="Pagas no prorrateadas"),1280.24*(F966*G966)))</f>
        <v/>
      </c>
      <c r="K966" s="106" t="str">
        <f aca="false">IF(A966="","",IF(J966-I966&gt;=0,"OK",J966-I966))</f>
        <v/>
      </c>
    </row>
    <row r="967" customFormat="false" ht="14.25" hidden="false" customHeight="true" outlineLevel="0" collapsed="false">
      <c r="A967" s="106"/>
      <c r="B967" s="106"/>
      <c r="C967" s="107"/>
      <c r="D967" s="106"/>
      <c r="E967" s="106"/>
      <c r="F967" s="108"/>
      <c r="G967" s="108"/>
      <c r="H967" s="106"/>
      <c r="I967" s="107"/>
      <c r="J967" s="131" t="str">
        <f aca="false" t="array" ref="J967:J967">IF(A967="","",ifs(AND(D967=1,H967="Pagas prorrateadas"),2705.41*(F967*G967),AND(D967=1,H967="Pagas no prorrateadas"),2318.93*(F967*G967),AND(D967=2,H967="Pagas prorrateadas"),2246.07*(F967*G967),AND(D967=2,H967="Pagas no prorrateadas"),1925.21*(F967*G967),AND(D967=3,H967="Pagas prorrateadas"),1775.44*(F967*G967),AND(D967=3,H967="Pagas no prorrateadas"),1521.81*(F967*G967),AND(D967=5,H967="Pagas prorrateadas"),1535.9*(F967*G967),AND(D967=5,H967="Pagas no prorrateadas"),1316.49*(F967*G967),AND(D967=7,H967="Pagas prorrateadas"),1493.61*(F967*G967),AND(D967=7,H967="Pagas no prorrateadas"),1280.24*(F967*G967)))</f>
        <v/>
      </c>
      <c r="K967" s="106" t="str">
        <f aca="false">IF(A967="","",IF(J967-I967&gt;=0,"OK",J967-I967))</f>
        <v/>
      </c>
    </row>
    <row r="968" customFormat="false" ht="14.25" hidden="false" customHeight="true" outlineLevel="0" collapsed="false">
      <c r="A968" s="106"/>
      <c r="B968" s="106"/>
      <c r="C968" s="107"/>
      <c r="D968" s="106"/>
      <c r="E968" s="106"/>
      <c r="F968" s="108"/>
      <c r="G968" s="108"/>
      <c r="H968" s="106"/>
      <c r="I968" s="107"/>
      <c r="J968" s="131" t="str">
        <f aca="false" t="array" ref="J968:J968">IF(A968="","",ifs(AND(D968=1,H968="Pagas prorrateadas"),2705.41*(F968*G968),AND(D968=1,H968="Pagas no prorrateadas"),2318.93*(F968*G968),AND(D968=2,H968="Pagas prorrateadas"),2246.07*(F968*G968),AND(D968=2,H968="Pagas no prorrateadas"),1925.21*(F968*G968),AND(D968=3,H968="Pagas prorrateadas"),1775.44*(F968*G968),AND(D968=3,H968="Pagas no prorrateadas"),1521.81*(F968*G968),AND(D968=5,H968="Pagas prorrateadas"),1535.9*(F968*G968),AND(D968=5,H968="Pagas no prorrateadas"),1316.49*(F968*G968),AND(D968=7,H968="Pagas prorrateadas"),1493.61*(F968*G968),AND(D968=7,H968="Pagas no prorrateadas"),1280.24*(F968*G968)))</f>
        <v/>
      </c>
      <c r="K968" s="106" t="str">
        <f aca="false">IF(A968="","",IF(J968-I968&gt;=0,"OK",J968-I968))</f>
        <v/>
      </c>
    </row>
    <row r="969" customFormat="false" ht="14.25" hidden="false" customHeight="true" outlineLevel="0" collapsed="false">
      <c r="A969" s="106"/>
      <c r="B969" s="106"/>
      <c r="C969" s="107"/>
      <c r="D969" s="106"/>
      <c r="E969" s="106"/>
      <c r="F969" s="108"/>
      <c r="G969" s="108"/>
      <c r="H969" s="106"/>
      <c r="I969" s="107"/>
      <c r="J969" s="131" t="str">
        <f aca="false" t="array" ref="J969:J969">IF(A969="","",ifs(AND(D969=1,H969="Pagas prorrateadas"),2705.41*(F969*G969),AND(D969=1,H969="Pagas no prorrateadas"),2318.93*(F969*G969),AND(D969=2,H969="Pagas prorrateadas"),2246.07*(F969*G969),AND(D969=2,H969="Pagas no prorrateadas"),1925.21*(F969*G969),AND(D969=3,H969="Pagas prorrateadas"),1775.44*(F969*G969),AND(D969=3,H969="Pagas no prorrateadas"),1521.81*(F969*G969),AND(D969=5,H969="Pagas prorrateadas"),1535.9*(F969*G969),AND(D969=5,H969="Pagas no prorrateadas"),1316.49*(F969*G969),AND(D969=7,H969="Pagas prorrateadas"),1493.61*(F969*G969),AND(D969=7,H969="Pagas no prorrateadas"),1280.24*(F969*G969)))</f>
        <v/>
      </c>
      <c r="K969" s="106" t="str">
        <f aca="false">IF(A969="","",IF(J969-I969&gt;=0,"OK",J969-I969))</f>
        <v/>
      </c>
    </row>
    <row r="970" customFormat="false" ht="14.25" hidden="false" customHeight="true" outlineLevel="0" collapsed="false">
      <c r="A970" s="106"/>
      <c r="B970" s="106"/>
      <c r="C970" s="107"/>
      <c r="D970" s="106"/>
      <c r="E970" s="106"/>
      <c r="F970" s="108"/>
      <c r="G970" s="108"/>
      <c r="H970" s="106"/>
      <c r="I970" s="107"/>
      <c r="J970" s="131" t="str">
        <f aca="false" t="array" ref="J970:J970">IF(A970="","",ifs(AND(D970=1,H970="Pagas prorrateadas"),2705.41*(F970*G970),AND(D970=1,H970="Pagas no prorrateadas"),2318.93*(F970*G970),AND(D970=2,H970="Pagas prorrateadas"),2246.07*(F970*G970),AND(D970=2,H970="Pagas no prorrateadas"),1925.21*(F970*G970),AND(D970=3,H970="Pagas prorrateadas"),1775.44*(F970*G970),AND(D970=3,H970="Pagas no prorrateadas"),1521.81*(F970*G970),AND(D970=5,H970="Pagas prorrateadas"),1535.9*(F970*G970),AND(D970=5,H970="Pagas no prorrateadas"),1316.49*(F970*G970),AND(D970=7,H970="Pagas prorrateadas"),1493.61*(F970*G970),AND(D970=7,H970="Pagas no prorrateadas"),1280.24*(F970*G970)))</f>
        <v/>
      </c>
      <c r="K970" s="106" t="str">
        <f aca="false">IF(A970="","",IF(J970-I970&gt;=0,"OK",J970-I970))</f>
        <v/>
      </c>
    </row>
    <row r="971" customFormat="false" ht="14.25" hidden="false" customHeight="true" outlineLevel="0" collapsed="false">
      <c r="A971" s="106"/>
      <c r="B971" s="106"/>
      <c r="C971" s="107"/>
      <c r="D971" s="106"/>
      <c r="E971" s="106"/>
      <c r="F971" s="108"/>
      <c r="G971" s="108"/>
      <c r="H971" s="106"/>
      <c r="I971" s="107"/>
      <c r="J971" s="131" t="str">
        <f aca="false" t="array" ref="J971:J971">IF(A971="","",ifs(AND(D971=1,H971="Pagas prorrateadas"),2705.41*(F971*G971),AND(D971=1,H971="Pagas no prorrateadas"),2318.93*(F971*G971),AND(D971=2,H971="Pagas prorrateadas"),2246.07*(F971*G971),AND(D971=2,H971="Pagas no prorrateadas"),1925.21*(F971*G971),AND(D971=3,H971="Pagas prorrateadas"),1775.44*(F971*G971),AND(D971=3,H971="Pagas no prorrateadas"),1521.81*(F971*G971),AND(D971=5,H971="Pagas prorrateadas"),1535.9*(F971*G971),AND(D971=5,H971="Pagas no prorrateadas"),1316.49*(F971*G971),AND(D971=7,H971="Pagas prorrateadas"),1493.61*(F971*G971),AND(D971=7,H971="Pagas no prorrateadas"),1280.24*(F971*G971)))</f>
        <v/>
      </c>
      <c r="K971" s="106" t="str">
        <f aca="false">IF(A971="","",IF(J971-I971&gt;=0,"OK",J971-I971))</f>
        <v/>
      </c>
    </row>
    <row r="972" customFormat="false" ht="14.25" hidden="false" customHeight="true" outlineLevel="0" collapsed="false">
      <c r="A972" s="106"/>
      <c r="B972" s="106"/>
      <c r="C972" s="107"/>
      <c r="D972" s="106"/>
      <c r="E972" s="106"/>
      <c r="F972" s="108"/>
      <c r="G972" s="108"/>
      <c r="H972" s="106"/>
      <c r="I972" s="107"/>
      <c r="J972" s="131" t="str">
        <f aca="false" t="array" ref="J972:J972">IF(A972="","",ifs(AND(D972=1,H972="Pagas prorrateadas"),2705.41*(F972*G972),AND(D972=1,H972="Pagas no prorrateadas"),2318.93*(F972*G972),AND(D972=2,H972="Pagas prorrateadas"),2246.07*(F972*G972),AND(D972=2,H972="Pagas no prorrateadas"),1925.21*(F972*G972),AND(D972=3,H972="Pagas prorrateadas"),1775.44*(F972*G972),AND(D972=3,H972="Pagas no prorrateadas"),1521.81*(F972*G972),AND(D972=5,H972="Pagas prorrateadas"),1535.9*(F972*G972),AND(D972=5,H972="Pagas no prorrateadas"),1316.49*(F972*G972),AND(D972=7,H972="Pagas prorrateadas"),1493.61*(F972*G972),AND(D972=7,H972="Pagas no prorrateadas"),1280.24*(F972*G972)))</f>
        <v/>
      </c>
      <c r="K972" s="106" t="str">
        <f aca="false">IF(A972="","",IF(J972-I972&gt;=0,"OK",J972-I972))</f>
        <v/>
      </c>
    </row>
    <row r="973" customFormat="false" ht="14.25" hidden="false" customHeight="true" outlineLevel="0" collapsed="false">
      <c r="A973" s="106"/>
      <c r="B973" s="106"/>
      <c r="C973" s="107"/>
      <c r="D973" s="106"/>
      <c r="E973" s="106"/>
      <c r="F973" s="108"/>
      <c r="G973" s="108"/>
      <c r="H973" s="106"/>
      <c r="I973" s="107"/>
      <c r="J973" s="131" t="str">
        <f aca="false" t="array" ref="J973:J973">IF(A973="","",ifs(AND(D973=1,H973="Pagas prorrateadas"),2705.41*(F973*G973),AND(D973=1,H973="Pagas no prorrateadas"),2318.93*(F973*G973),AND(D973=2,H973="Pagas prorrateadas"),2246.07*(F973*G973),AND(D973=2,H973="Pagas no prorrateadas"),1925.21*(F973*G973),AND(D973=3,H973="Pagas prorrateadas"),1775.44*(F973*G973),AND(D973=3,H973="Pagas no prorrateadas"),1521.81*(F973*G973),AND(D973=5,H973="Pagas prorrateadas"),1535.9*(F973*G973),AND(D973=5,H973="Pagas no prorrateadas"),1316.49*(F973*G973),AND(D973=7,H973="Pagas prorrateadas"),1493.61*(F973*G973),AND(D973=7,H973="Pagas no prorrateadas"),1280.24*(F973*G973)))</f>
        <v/>
      </c>
      <c r="K973" s="106" t="str">
        <f aca="false">IF(A973="","",IF(J973-I973&gt;=0,"OK",J973-I973))</f>
        <v/>
      </c>
    </row>
    <row r="974" customFormat="false" ht="14.25" hidden="false" customHeight="true" outlineLevel="0" collapsed="false">
      <c r="A974" s="106"/>
      <c r="B974" s="106"/>
      <c r="C974" s="107"/>
      <c r="D974" s="106"/>
      <c r="E974" s="106"/>
      <c r="F974" s="108"/>
      <c r="G974" s="108"/>
      <c r="H974" s="106"/>
      <c r="I974" s="107"/>
      <c r="J974" s="131" t="str">
        <f aca="false" t="array" ref="J974:J974">IF(A974="","",ifs(AND(D974=1,H974="Pagas prorrateadas"),2705.41*(F974*G974),AND(D974=1,H974="Pagas no prorrateadas"),2318.93*(F974*G974),AND(D974=2,H974="Pagas prorrateadas"),2246.07*(F974*G974),AND(D974=2,H974="Pagas no prorrateadas"),1925.21*(F974*G974),AND(D974=3,H974="Pagas prorrateadas"),1775.44*(F974*G974),AND(D974=3,H974="Pagas no prorrateadas"),1521.81*(F974*G974),AND(D974=5,H974="Pagas prorrateadas"),1535.9*(F974*G974),AND(D974=5,H974="Pagas no prorrateadas"),1316.49*(F974*G974),AND(D974=7,H974="Pagas prorrateadas"),1493.61*(F974*G974),AND(D974=7,H974="Pagas no prorrateadas"),1280.24*(F974*G974)))</f>
        <v/>
      </c>
      <c r="K974" s="106" t="str">
        <f aca="false">IF(A974="","",IF(J974-I974&gt;=0,"OK",J974-I974))</f>
        <v/>
      </c>
    </row>
    <row r="975" customFormat="false" ht="14.25" hidden="false" customHeight="true" outlineLevel="0" collapsed="false">
      <c r="A975" s="106"/>
      <c r="B975" s="106"/>
      <c r="C975" s="107"/>
      <c r="D975" s="106"/>
      <c r="E975" s="106"/>
      <c r="F975" s="108"/>
      <c r="G975" s="108"/>
      <c r="H975" s="106"/>
      <c r="I975" s="107"/>
      <c r="J975" s="131" t="str">
        <f aca="false" t="array" ref="J975:J975">IF(A975="","",ifs(AND(D975=1,H975="Pagas prorrateadas"),2705.41*(F975*G975),AND(D975=1,H975="Pagas no prorrateadas"),2318.93*(F975*G975),AND(D975=2,H975="Pagas prorrateadas"),2246.07*(F975*G975),AND(D975=2,H975="Pagas no prorrateadas"),1925.21*(F975*G975),AND(D975=3,H975="Pagas prorrateadas"),1775.44*(F975*G975),AND(D975=3,H975="Pagas no prorrateadas"),1521.81*(F975*G975),AND(D975=5,H975="Pagas prorrateadas"),1535.9*(F975*G975),AND(D975=5,H975="Pagas no prorrateadas"),1316.49*(F975*G975),AND(D975=7,H975="Pagas prorrateadas"),1493.61*(F975*G975),AND(D975=7,H975="Pagas no prorrateadas"),1280.24*(F975*G975)))</f>
        <v/>
      </c>
      <c r="K975" s="106" t="str">
        <f aca="false">IF(A975="","",IF(J975-I975&gt;=0,"OK",J975-I975))</f>
        <v/>
      </c>
    </row>
    <row r="976" customFormat="false" ht="14.25" hidden="false" customHeight="true" outlineLevel="0" collapsed="false">
      <c r="A976" s="106"/>
      <c r="B976" s="106"/>
      <c r="C976" s="107"/>
      <c r="D976" s="106"/>
      <c r="E976" s="106"/>
      <c r="F976" s="108"/>
      <c r="G976" s="108"/>
      <c r="H976" s="106"/>
      <c r="I976" s="107"/>
      <c r="J976" s="131" t="str">
        <f aca="false" t="array" ref="J976:J976">IF(A976="","",ifs(AND(D976=1,H976="Pagas prorrateadas"),2705.41*(F976*G976),AND(D976=1,H976="Pagas no prorrateadas"),2318.93*(F976*G976),AND(D976=2,H976="Pagas prorrateadas"),2246.07*(F976*G976),AND(D976=2,H976="Pagas no prorrateadas"),1925.21*(F976*G976),AND(D976=3,H976="Pagas prorrateadas"),1775.44*(F976*G976),AND(D976=3,H976="Pagas no prorrateadas"),1521.81*(F976*G976),AND(D976=5,H976="Pagas prorrateadas"),1535.9*(F976*G976),AND(D976=5,H976="Pagas no prorrateadas"),1316.49*(F976*G976),AND(D976=7,H976="Pagas prorrateadas"),1493.61*(F976*G976),AND(D976=7,H976="Pagas no prorrateadas"),1280.24*(F976*G976)))</f>
        <v/>
      </c>
      <c r="K976" s="106" t="str">
        <f aca="false">IF(A976="","",IF(J976-I976&gt;=0,"OK",J976-I976))</f>
        <v/>
      </c>
    </row>
    <row r="977" customFormat="false" ht="14.25" hidden="false" customHeight="true" outlineLevel="0" collapsed="false">
      <c r="A977" s="106"/>
      <c r="B977" s="106"/>
      <c r="C977" s="107"/>
      <c r="D977" s="106"/>
      <c r="E977" s="106"/>
      <c r="F977" s="108"/>
      <c r="G977" s="108"/>
      <c r="H977" s="106"/>
      <c r="I977" s="107"/>
      <c r="J977" s="131" t="str">
        <f aca="false" t="array" ref="J977:J977">IF(A977="","",ifs(AND(D977=1,H977="Pagas prorrateadas"),2705.41*(F977*G977),AND(D977=1,H977="Pagas no prorrateadas"),2318.93*(F977*G977),AND(D977=2,H977="Pagas prorrateadas"),2246.07*(F977*G977),AND(D977=2,H977="Pagas no prorrateadas"),1925.21*(F977*G977),AND(D977=3,H977="Pagas prorrateadas"),1775.44*(F977*G977),AND(D977=3,H977="Pagas no prorrateadas"),1521.81*(F977*G977),AND(D977=5,H977="Pagas prorrateadas"),1535.9*(F977*G977),AND(D977=5,H977="Pagas no prorrateadas"),1316.49*(F977*G977),AND(D977=7,H977="Pagas prorrateadas"),1493.61*(F977*G977),AND(D977=7,H977="Pagas no prorrateadas"),1280.24*(F977*G977)))</f>
        <v/>
      </c>
      <c r="K977" s="106" t="str">
        <f aca="false">IF(A977="","",IF(J977-I977&gt;=0,"OK",J977-I977))</f>
        <v/>
      </c>
    </row>
    <row r="978" customFormat="false" ht="14.25" hidden="false" customHeight="true" outlineLevel="0" collapsed="false">
      <c r="A978" s="106"/>
      <c r="B978" s="106"/>
      <c r="C978" s="107"/>
      <c r="D978" s="106"/>
      <c r="E978" s="106"/>
      <c r="F978" s="108"/>
      <c r="G978" s="108"/>
      <c r="H978" s="106"/>
      <c r="I978" s="107"/>
      <c r="J978" s="131" t="str">
        <f aca="false" t="array" ref="J978:J978">IF(A978="","",ifs(AND(D978=1,H978="Pagas prorrateadas"),2705.41*(F978*G978),AND(D978=1,H978="Pagas no prorrateadas"),2318.93*(F978*G978),AND(D978=2,H978="Pagas prorrateadas"),2246.07*(F978*G978),AND(D978=2,H978="Pagas no prorrateadas"),1925.21*(F978*G978),AND(D978=3,H978="Pagas prorrateadas"),1775.44*(F978*G978),AND(D978=3,H978="Pagas no prorrateadas"),1521.81*(F978*G978),AND(D978=5,H978="Pagas prorrateadas"),1535.9*(F978*G978),AND(D978=5,H978="Pagas no prorrateadas"),1316.49*(F978*G978),AND(D978=7,H978="Pagas prorrateadas"),1493.61*(F978*G978),AND(D978=7,H978="Pagas no prorrateadas"),1280.24*(F978*G978)))</f>
        <v/>
      </c>
      <c r="K978" s="106" t="str">
        <f aca="false">IF(A978="","",IF(J978-I978&gt;=0,"OK",J978-I978))</f>
        <v/>
      </c>
    </row>
    <row r="979" customFormat="false" ht="14.25" hidden="false" customHeight="true" outlineLevel="0" collapsed="false">
      <c r="A979" s="106"/>
      <c r="B979" s="106"/>
      <c r="C979" s="107"/>
      <c r="D979" s="106"/>
      <c r="E979" s="106"/>
      <c r="F979" s="108"/>
      <c r="G979" s="108"/>
      <c r="H979" s="106"/>
      <c r="I979" s="107"/>
      <c r="J979" s="131" t="str">
        <f aca="false" t="array" ref="J979:J979">IF(A979="","",ifs(AND(D979=1,H979="Pagas prorrateadas"),2705.41*(F979*G979),AND(D979=1,H979="Pagas no prorrateadas"),2318.93*(F979*G979),AND(D979=2,H979="Pagas prorrateadas"),2246.07*(F979*G979),AND(D979=2,H979="Pagas no prorrateadas"),1925.21*(F979*G979),AND(D979=3,H979="Pagas prorrateadas"),1775.44*(F979*G979),AND(D979=3,H979="Pagas no prorrateadas"),1521.81*(F979*G979),AND(D979=5,H979="Pagas prorrateadas"),1535.9*(F979*G979),AND(D979=5,H979="Pagas no prorrateadas"),1316.49*(F979*G979),AND(D979=7,H979="Pagas prorrateadas"),1493.61*(F979*G979),AND(D979=7,H979="Pagas no prorrateadas"),1280.24*(F979*G979)))</f>
        <v/>
      </c>
      <c r="K979" s="106" t="str">
        <f aca="false">IF(A979="","",IF(J979-I979&gt;=0,"OK",J979-I979))</f>
        <v/>
      </c>
    </row>
    <row r="980" customFormat="false" ht="14.25" hidden="false" customHeight="true" outlineLevel="0" collapsed="false">
      <c r="A980" s="106"/>
      <c r="B980" s="106"/>
      <c r="C980" s="107"/>
      <c r="D980" s="106"/>
      <c r="E980" s="106"/>
      <c r="F980" s="108"/>
      <c r="G980" s="108"/>
      <c r="H980" s="106"/>
      <c r="I980" s="107"/>
      <c r="J980" s="131" t="str">
        <f aca="false" t="array" ref="J980:J980">IF(A980="","",ifs(AND(D980=1,H980="Pagas prorrateadas"),2705.41*(F980*G980),AND(D980=1,H980="Pagas no prorrateadas"),2318.93*(F980*G980),AND(D980=2,H980="Pagas prorrateadas"),2246.07*(F980*G980),AND(D980=2,H980="Pagas no prorrateadas"),1925.21*(F980*G980),AND(D980=3,H980="Pagas prorrateadas"),1775.44*(F980*G980),AND(D980=3,H980="Pagas no prorrateadas"),1521.81*(F980*G980),AND(D980=5,H980="Pagas prorrateadas"),1535.9*(F980*G980),AND(D980=5,H980="Pagas no prorrateadas"),1316.49*(F980*G980),AND(D980=7,H980="Pagas prorrateadas"),1493.61*(F980*G980),AND(D980=7,H980="Pagas no prorrateadas"),1280.24*(F980*G980)))</f>
        <v/>
      </c>
      <c r="K980" s="106" t="str">
        <f aca="false">IF(A980="","",IF(J980-I980&gt;=0,"OK",J980-I980))</f>
        <v/>
      </c>
    </row>
    <row r="981" customFormat="false" ht="14.25" hidden="false" customHeight="true" outlineLevel="0" collapsed="false">
      <c r="A981" s="106"/>
      <c r="B981" s="106"/>
      <c r="C981" s="107"/>
      <c r="D981" s="106"/>
      <c r="E981" s="106"/>
      <c r="F981" s="108"/>
      <c r="G981" s="108"/>
      <c r="H981" s="106"/>
      <c r="I981" s="107"/>
      <c r="J981" s="131" t="str">
        <f aca="false" t="array" ref="J981:J981">IF(A981="","",ifs(AND(D981=1,H981="Pagas prorrateadas"),2705.41*(F981*G981),AND(D981=1,H981="Pagas no prorrateadas"),2318.93*(F981*G981),AND(D981=2,H981="Pagas prorrateadas"),2246.07*(F981*G981),AND(D981=2,H981="Pagas no prorrateadas"),1925.21*(F981*G981),AND(D981=3,H981="Pagas prorrateadas"),1775.44*(F981*G981),AND(D981=3,H981="Pagas no prorrateadas"),1521.81*(F981*G981),AND(D981=5,H981="Pagas prorrateadas"),1535.9*(F981*G981),AND(D981=5,H981="Pagas no prorrateadas"),1316.49*(F981*G981),AND(D981=7,H981="Pagas prorrateadas"),1493.61*(F981*G981),AND(D981=7,H981="Pagas no prorrateadas"),1280.24*(F981*G981)))</f>
        <v/>
      </c>
      <c r="K981" s="106" t="str">
        <f aca="false">IF(A981="","",IF(J981-I981&gt;=0,"OK",J981-I981))</f>
        <v/>
      </c>
    </row>
    <row r="982" customFormat="false" ht="14.25" hidden="false" customHeight="true" outlineLevel="0" collapsed="false">
      <c r="A982" s="106"/>
      <c r="B982" s="106"/>
      <c r="C982" s="107"/>
      <c r="D982" s="106"/>
      <c r="E982" s="106"/>
      <c r="F982" s="108"/>
      <c r="G982" s="108"/>
      <c r="H982" s="106"/>
      <c r="I982" s="107"/>
      <c r="J982" s="131" t="str">
        <f aca="false" t="array" ref="J982:J982">IF(A982="","",ifs(AND(D982=1,H982="Pagas prorrateadas"),2705.41*(F982*G982),AND(D982=1,H982="Pagas no prorrateadas"),2318.93*(F982*G982),AND(D982=2,H982="Pagas prorrateadas"),2246.07*(F982*G982),AND(D982=2,H982="Pagas no prorrateadas"),1925.21*(F982*G982),AND(D982=3,H982="Pagas prorrateadas"),1775.44*(F982*G982),AND(D982=3,H982="Pagas no prorrateadas"),1521.81*(F982*G982),AND(D982=5,H982="Pagas prorrateadas"),1535.9*(F982*G982),AND(D982=5,H982="Pagas no prorrateadas"),1316.49*(F982*G982),AND(D982=7,H982="Pagas prorrateadas"),1493.61*(F982*G982),AND(D982=7,H982="Pagas no prorrateadas"),1280.24*(F982*G982)))</f>
        <v/>
      </c>
      <c r="K982" s="106" t="str">
        <f aca="false">IF(A982="","",IF(J982-I982&gt;=0,"OK",J982-I982))</f>
        <v/>
      </c>
    </row>
    <row r="983" customFormat="false" ht="14.25" hidden="false" customHeight="true" outlineLevel="0" collapsed="false">
      <c r="A983" s="106"/>
      <c r="B983" s="106"/>
      <c r="C983" s="107"/>
      <c r="D983" s="106"/>
      <c r="E983" s="106"/>
      <c r="F983" s="108"/>
      <c r="G983" s="108"/>
      <c r="H983" s="106"/>
      <c r="I983" s="107"/>
      <c r="J983" s="131" t="str">
        <f aca="false" t="array" ref="J983:J983">IF(A983="","",ifs(AND(D983=1,H983="Pagas prorrateadas"),2705.41*(F983*G983),AND(D983=1,H983="Pagas no prorrateadas"),2318.93*(F983*G983),AND(D983=2,H983="Pagas prorrateadas"),2246.07*(F983*G983),AND(D983=2,H983="Pagas no prorrateadas"),1925.21*(F983*G983),AND(D983=3,H983="Pagas prorrateadas"),1775.44*(F983*G983),AND(D983=3,H983="Pagas no prorrateadas"),1521.81*(F983*G983),AND(D983=5,H983="Pagas prorrateadas"),1535.9*(F983*G983),AND(D983=5,H983="Pagas no prorrateadas"),1316.49*(F983*G983),AND(D983=7,H983="Pagas prorrateadas"),1493.61*(F983*G983),AND(D983=7,H983="Pagas no prorrateadas"),1280.24*(F983*G983)))</f>
        <v/>
      </c>
      <c r="K983" s="106" t="str">
        <f aca="false">IF(A983="","",IF(J983-I983&gt;=0,"OK",J983-I983))</f>
        <v/>
      </c>
    </row>
    <row r="984" customFormat="false" ht="14.25" hidden="false" customHeight="true" outlineLevel="0" collapsed="false">
      <c r="A984" s="106"/>
      <c r="B984" s="106"/>
      <c r="C984" s="107"/>
      <c r="D984" s="106"/>
      <c r="E984" s="106"/>
      <c r="F984" s="108"/>
      <c r="G984" s="108"/>
      <c r="H984" s="106"/>
      <c r="I984" s="107"/>
      <c r="J984" s="131" t="str">
        <f aca="false" t="array" ref="J984:J984">IF(A984="","",ifs(AND(D984=1,H984="Pagas prorrateadas"),2705.41*(F984*G984),AND(D984=1,H984="Pagas no prorrateadas"),2318.93*(F984*G984),AND(D984=2,H984="Pagas prorrateadas"),2246.07*(F984*G984),AND(D984=2,H984="Pagas no prorrateadas"),1925.21*(F984*G984),AND(D984=3,H984="Pagas prorrateadas"),1775.44*(F984*G984),AND(D984=3,H984="Pagas no prorrateadas"),1521.81*(F984*G984),AND(D984=5,H984="Pagas prorrateadas"),1535.9*(F984*G984),AND(D984=5,H984="Pagas no prorrateadas"),1316.49*(F984*G984),AND(D984=7,H984="Pagas prorrateadas"),1493.61*(F984*G984),AND(D984=7,H984="Pagas no prorrateadas"),1280.24*(F984*G984)))</f>
        <v/>
      </c>
      <c r="K984" s="106" t="str">
        <f aca="false">IF(A984="","",IF(J984-I984&gt;=0,"OK",J984-I984))</f>
        <v/>
      </c>
    </row>
    <row r="985" customFormat="false" ht="14.25" hidden="false" customHeight="true" outlineLevel="0" collapsed="false">
      <c r="A985" s="106"/>
      <c r="B985" s="106"/>
      <c r="C985" s="107"/>
      <c r="D985" s="106"/>
      <c r="E985" s="106"/>
      <c r="F985" s="108"/>
      <c r="G985" s="108"/>
      <c r="H985" s="106"/>
      <c r="I985" s="107"/>
      <c r="J985" s="131" t="str">
        <f aca="false" t="array" ref="J985:J985">IF(A985="","",ifs(AND(D985=1,H985="Pagas prorrateadas"),2705.41*(F985*G985),AND(D985=1,H985="Pagas no prorrateadas"),2318.93*(F985*G985),AND(D985=2,H985="Pagas prorrateadas"),2246.07*(F985*G985),AND(D985=2,H985="Pagas no prorrateadas"),1925.21*(F985*G985),AND(D985=3,H985="Pagas prorrateadas"),1775.44*(F985*G985),AND(D985=3,H985="Pagas no prorrateadas"),1521.81*(F985*G985),AND(D985=5,H985="Pagas prorrateadas"),1535.9*(F985*G985),AND(D985=5,H985="Pagas no prorrateadas"),1316.49*(F985*G985),AND(D985=7,H985="Pagas prorrateadas"),1493.61*(F985*G985),AND(D985=7,H985="Pagas no prorrateadas"),1280.24*(F985*G985)))</f>
        <v/>
      </c>
      <c r="K985" s="106" t="str">
        <f aca="false">IF(A985="","",IF(J985-I985&gt;=0,"OK",J985-I985))</f>
        <v/>
      </c>
    </row>
    <row r="986" customFormat="false" ht="14.25" hidden="false" customHeight="true" outlineLevel="0" collapsed="false">
      <c r="A986" s="106"/>
      <c r="B986" s="106"/>
      <c r="C986" s="107"/>
      <c r="D986" s="106"/>
      <c r="E986" s="106"/>
      <c r="F986" s="108"/>
      <c r="G986" s="108"/>
      <c r="H986" s="106"/>
      <c r="I986" s="107"/>
      <c r="J986" s="131" t="str">
        <f aca="false" t="array" ref="J986:J986">IF(A986="","",ifs(AND(D986=1,H986="Pagas prorrateadas"),2705.41*(F986*G986),AND(D986=1,H986="Pagas no prorrateadas"),2318.93*(F986*G986),AND(D986=2,H986="Pagas prorrateadas"),2246.07*(F986*G986),AND(D986=2,H986="Pagas no prorrateadas"),1925.21*(F986*G986),AND(D986=3,H986="Pagas prorrateadas"),1775.44*(F986*G986),AND(D986=3,H986="Pagas no prorrateadas"),1521.81*(F986*G986),AND(D986=5,H986="Pagas prorrateadas"),1535.9*(F986*G986),AND(D986=5,H986="Pagas no prorrateadas"),1316.49*(F986*G986),AND(D986=7,H986="Pagas prorrateadas"),1493.61*(F986*G986),AND(D986=7,H986="Pagas no prorrateadas"),1280.24*(F986*G986)))</f>
        <v/>
      </c>
      <c r="K986" s="106" t="str">
        <f aca="false">IF(A986="","",IF(J986-I986&gt;=0,"OK",J986-I986))</f>
        <v/>
      </c>
    </row>
    <row r="987" customFormat="false" ht="14.25" hidden="false" customHeight="true" outlineLevel="0" collapsed="false">
      <c r="A987" s="106"/>
      <c r="B987" s="106"/>
      <c r="C987" s="107"/>
      <c r="D987" s="106"/>
      <c r="E987" s="106"/>
      <c r="F987" s="108"/>
      <c r="G987" s="108"/>
      <c r="H987" s="106"/>
      <c r="I987" s="107"/>
      <c r="J987" s="131" t="str">
        <f aca="false" t="array" ref="J987:J987">IF(A987="","",ifs(AND(D987=1,H987="Pagas prorrateadas"),2705.41*(F987*G987),AND(D987=1,H987="Pagas no prorrateadas"),2318.93*(F987*G987),AND(D987=2,H987="Pagas prorrateadas"),2246.07*(F987*G987),AND(D987=2,H987="Pagas no prorrateadas"),1925.21*(F987*G987),AND(D987=3,H987="Pagas prorrateadas"),1775.44*(F987*G987),AND(D987=3,H987="Pagas no prorrateadas"),1521.81*(F987*G987),AND(D987=5,H987="Pagas prorrateadas"),1535.9*(F987*G987),AND(D987=5,H987="Pagas no prorrateadas"),1316.49*(F987*G987),AND(D987=7,H987="Pagas prorrateadas"),1493.61*(F987*G987),AND(D987=7,H987="Pagas no prorrateadas"),1280.24*(F987*G987)))</f>
        <v/>
      </c>
      <c r="K987" s="106" t="str">
        <f aca="false">IF(A987="","",IF(J987-I987&gt;=0,"OK",J987-I987))</f>
        <v/>
      </c>
    </row>
    <row r="988" customFormat="false" ht="14.25" hidden="false" customHeight="true" outlineLevel="0" collapsed="false">
      <c r="A988" s="106"/>
      <c r="B988" s="106"/>
      <c r="C988" s="107"/>
      <c r="D988" s="106"/>
      <c r="E988" s="106"/>
      <c r="F988" s="108"/>
      <c r="G988" s="108"/>
      <c r="H988" s="106"/>
      <c r="I988" s="107"/>
      <c r="J988" s="131" t="str">
        <f aca="false" t="array" ref="J988:J988">IF(A988="","",ifs(AND(D988=1,H988="Pagas prorrateadas"),2705.41*(F988*G988),AND(D988=1,H988="Pagas no prorrateadas"),2318.93*(F988*G988),AND(D988=2,H988="Pagas prorrateadas"),2246.07*(F988*G988),AND(D988=2,H988="Pagas no prorrateadas"),1925.21*(F988*G988),AND(D988=3,H988="Pagas prorrateadas"),1775.44*(F988*G988),AND(D988=3,H988="Pagas no prorrateadas"),1521.81*(F988*G988),AND(D988=5,H988="Pagas prorrateadas"),1535.9*(F988*G988),AND(D988=5,H988="Pagas no prorrateadas"),1316.49*(F988*G988),AND(D988=7,H988="Pagas prorrateadas"),1493.61*(F988*G988),AND(D988=7,H988="Pagas no prorrateadas"),1280.24*(F988*G988)))</f>
        <v/>
      </c>
      <c r="K988" s="106" t="str">
        <f aca="false">IF(A988="","",IF(J988-I988&gt;=0,"OK",J988-I988))</f>
        <v/>
      </c>
    </row>
    <row r="989" customFormat="false" ht="14.25" hidden="false" customHeight="true" outlineLevel="0" collapsed="false">
      <c r="A989" s="106"/>
      <c r="B989" s="106"/>
      <c r="C989" s="107"/>
      <c r="D989" s="106"/>
      <c r="E989" s="106"/>
      <c r="F989" s="108"/>
      <c r="G989" s="108"/>
      <c r="H989" s="106"/>
      <c r="I989" s="107"/>
      <c r="J989" s="131" t="str">
        <f aca="false" t="array" ref="J989:J989">IF(A989="","",ifs(AND(D989=1,H989="Pagas prorrateadas"),2705.41*(F989*G989),AND(D989=1,H989="Pagas no prorrateadas"),2318.93*(F989*G989),AND(D989=2,H989="Pagas prorrateadas"),2246.07*(F989*G989),AND(D989=2,H989="Pagas no prorrateadas"),1925.21*(F989*G989),AND(D989=3,H989="Pagas prorrateadas"),1775.44*(F989*G989),AND(D989=3,H989="Pagas no prorrateadas"),1521.81*(F989*G989),AND(D989=5,H989="Pagas prorrateadas"),1535.9*(F989*G989),AND(D989=5,H989="Pagas no prorrateadas"),1316.49*(F989*G989),AND(D989=7,H989="Pagas prorrateadas"),1493.61*(F989*G989),AND(D989=7,H989="Pagas no prorrateadas"),1280.24*(F989*G989)))</f>
        <v/>
      </c>
      <c r="K989" s="106" t="str">
        <f aca="false">IF(A989="","",IF(J989-I989&gt;=0,"OK",J989-I989))</f>
        <v/>
      </c>
    </row>
    <row r="990" customFormat="false" ht="14.25" hidden="false" customHeight="true" outlineLevel="0" collapsed="false">
      <c r="A990" s="106"/>
      <c r="B990" s="106"/>
      <c r="C990" s="107"/>
      <c r="D990" s="106"/>
      <c r="E990" s="106"/>
      <c r="F990" s="108"/>
      <c r="G990" s="108"/>
      <c r="H990" s="106"/>
      <c r="I990" s="107"/>
      <c r="J990" s="131" t="str">
        <f aca="false" t="array" ref="J990:J990">IF(A990="","",ifs(AND(D990=1,H990="Pagas prorrateadas"),2705.41*(F990*G990),AND(D990=1,H990="Pagas no prorrateadas"),2318.93*(F990*G990),AND(D990=2,H990="Pagas prorrateadas"),2246.07*(F990*G990),AND(D990=2,H990="Pagas no prorrateadas"),1925.21*(F990*G990),AND(D990=3,H990="Pagas prorrateadas"),1775.44*(F990*G990),AND(D990=3,H990="Pagas no prorrateadas"),1521.81*(F990*G990),AND(D990=5,H990="Pagas prorrateadas"),1535.9*(F990*G990),AND(D990=5,H990="Pagas no prorrateadas"),1316.49*(F990*G990),AND(D990=7,H990="Pagas prorrateadas"),1493.61*(F990*G990),AND(D990=7,H990="Pagas no prorrateadas"),1280.24*(F990*G990)))</f>
        <v/>
      </c>
      <c r="K990" s="106" t="str">
        <f aca="false">IF(A990="","",IF(J990-I990&gt;=0,"OK",J990-I990))</f>
        <v/>
      </c>
    </row>
    <row r="991" customFormat="false" ht="14.25" hidden="false" customHeight="true" outlineLevel="0" collapsed="false">
      <c r="A991" s="106"/>
      <c r="B991" s="106"/>
      <c r="C991" s="107"/>
      <c r="D991" s="106"/>
      <c r="E991" s="106"/>
      <c r="F991" s="108"/>
      <c r="G991" s="108"/>
      <c r="H991" s="106"/>
      <c r="I991" s="107"/>
      <c r="J991" s="131" t="str">
        <f aca="false" t="array" ref="J991:J991">IF(A991="","",ifs(AND(D991=1,H991="Pagas prorrateadas"),2705.41*(F991*G991),AND(D991=1,H991="Pagas no prorrateadas"),2318.93*(F991*G991),AND(D991=2,H991="Pagas prorrateadas"),2246.07*(F991*G991),AND(D991=2,H991="Pagas no prorrateadas"),1925.21*(F991*G991),AND(D991=3,H991="Pagas prorrateadas"),1775.44*(F991*G991),AND(D991=3,H991="Pagas no prorrateadas"),1521.81*(F991*G991),AND(D991=5,H991="Pagas prorrateadas"),1535.9*(F991*G991),AND(D991=5,H991="Pagas no prorrateadas"),1316.49*(F991*G991),AND(D991=7,H991="Pagas prorrateadas"),1493.61*(F991*G991),AND(D991=7,H991="Pagas no prorrateadas"),1280.24*(F991*G991)))</f>
        <v/>
      </c>
      <c r="K991" s="106" t="str">
        <f aca="false">IF(A991="","",IF(J991-I991&gt;=0,"OK",J991-I991))</f>
        <v/>
      </c>
    </row>
    <row r="992" customFormat="false" ht="14.25" hidden="false" customHeight="true" outlineLevel="0" collapsed="false">
      <c r="A992" s="106"/>
      <c r="B992" s="106"/>
      <c r="C992" s="107"/>
      <c r="D992" s="106"/>
      <c r="E992" s="106"/>
      <c r="F992" s="108"/>
      <c r="G992" s="108"/>
      <c r="H992" s="106"/>
      <c r="I992" s="107"/>
      <c r="J992" s="131" t="str">
        <f aca="false" t="array" ref="J992:J992">IF(A992="","",ifs(AND(D992=1,H992="Pagas prorrateadas"),2705.41*(F992*G992),AND(D992=1,H992="Pagas no prorrateadas"),2318.93*(F992*G992),AND(D992=2,H992="Pagas prorrateadas"),2246.07*(F992*G992),AND(D992=2,H992="Pagas no prorrateadas"),1925.21*(F992*G992),AND(D992=3,H992="Pagas prorrateadas"),1775.44*(F992*G992),AND(D992=3,H992="Pagas no prorrateadas"),1521.81*(F992*G992),AND(D992=5,H992="Pagas prorrateadas"),1535.9*(F992*G992),AND(D992=5,H992="Pagas no prorrateadas"),1316.49*(F992*G992),AND(D992=7,H992="Pagas prorrateadas"),1493.61*(F992*G992),AND(D992=7,H992="Pagas no prorrateadas"),1280.24*(F992*G992)))</f>
        <v/>
      </c>
      <c r="K992" s="106" t="str">
        <f aca="false">IF(A992="","",IF(J992-I992&gt;=0,"OK",J992-I992))</f>
        <v/>
      </c>
    </row>
    <row r="993" customFormat="false" ht="14.25" hidden="false" customHeight="true" outlineLevel="0" collapsed="false">
      <c r="A993" s="106"/>
      <c r="B993" s="106"/>
      <c r="C993" s="107"/>
      <c r="D993" s="106"/>
      <c r="E993" s="106"/>
      <c r="F993" s="108"/>
      <c r="G993" s="108"/>
      <c r="H993" s="106"/>
      <c r="I993" s="107"/>
      <c r="J993" s="131" t="str">
        <f aca="false" t="array" ref="J993:J993">IF(A993="","",ifs(AND(D993=1,H993="Pagas prorrateadas"),2705.41*(F993*G993),AND(D993=1,H993="Pagas no prorrateadas"),2318.93*(F993*G993),AND(D993=2,H993="Pagas prorrateadas"),2246.07*(F993*G993),AND(D993=2,H993="Pagas no prorrateadas"),1925.21*(F993*G993),AND(D993=3,H993="Pagas prorrateadas"),1775.44*(F993*G993),AND(D993=3,H993="Pagas no prorrateadas"),1521.81*(F993*G993),AND(D993=5,H993="Pagas prorrateadas"),1535.9*(F993*G993),AND(D993=5,H993="Pagas no prorrateadas"),1316.49*(F993*G993),AND(D993=7,H993="Pagas prorrateadas"),1493.61*(F993*G993),AND(D993=7,H993="Pagas no prorrateadas"),1280.24*(F993*G993)))</f>
        <v/>
      </c>
      <c r="K993" s="106" t="str">
        <f aca="false">IF(A993="","",IF(J993-I993&gt;=0,"OK",J993-I993))</f>
        <v/>
      </c>
    </row>
    <row r="994" customFormat="false" ht="14.25" hidden="false" customHeight="true" outlineLevel="0" collapsed="false">
      <c r="A994" s="106"/>
      <c r="B994" s="106"/>
      <c r="C994" s="107"/>
      <c r="D994" s="106"/>
      <c r="E994" s="106"/>
      <c r="F994" s="108"/>
      <c r="G994" s="108"/>
      <c r="H994" s="106"/>
      <c r="I994" s="107"/>
      <c r="J994" s="131" t="str">
        <f aca="false" t="array" ref="J994:J994">IF(A994="","",ifs(AND(D994=1,H994="Pagas prorrateadas"),2705.41*(F994*G994),AND(D994=1,H994="Pagas no prorrateadas"),2318.93*(F994*G994),AND(D994=2,H994="Pagas prorrateadas"),2246.07*(F994*G994),AND(D994=2,H994="Pagas no prorrateadas"),1925.21*(F994*G994),AND(D994=3,H994="Pagas prorrateadas"),1775.44*(F994*G994),AND(D994=3,H994="Pagas no prorrateadas"),1521.81*(F994*G994),AND(D994=5,H994="Pagas prorrateadas"),1535.9*(F994*G994),AND(D994=5,H994="Pagas no prorrateadas"),1316.49*(F994*G994),AND(D994=7,H994="Pagas prorrateadas"),1493.61*(F994*G994),AND(D994=7,H994="Pagas no prorrateadas"),1280.24*(F994*G994)))</f>
        <v/>
      </c>
      <c r="K994" s="106" t="str">
        <f aca="false">IF(A994="","",IF(J994-I994&gt;=0,"OK",J994-I994))</f>
        <v/>
      </c>
    </row>
    <row r="995" customFormat="false" ht="14.25" hidden="false" customHeight="true" outlineLevel="0" collapsed="false">
      <c r="A995" s="106"/>
      <c r="B995" s="106"/>
      <c r="C995" s="107"/>
      <c r="D995" s="106"/>
      <c r="E995" s="106"/>
      <c r="F995" s="108"/>
      <c r="G995" s="108"/>
      <c r="H995" s="106"/>
      <c r="I995" s="107"/>
      <c r="J995" s="131" t="str">
        <f aca="false" t="array" ref="J995:J995">IF(A995="","",ifs(AND(D995=1,H995="Pagas prorrateadas"),2705.41*(F995*G995),AND(D995=1,H995="Pagas no prorrateadas"),2318.93*(F995*G995),AND(D995=2,H995="Pagas prorrateadas"),2246.07*(F995*G995),AND(D995=2,H995="Pagas no prorrateadas"),1925.21*(F995*G995),AND(D995=3,H995="Pagas prorrateadas"),1775.44*(F995*G995),AND(D995=3,H995="Pagas no prorrateadas"),1521.81*(F995*G995),AND(D995=5,H995="Pagas prorrateadas"),1535.9*(F995*G995),AND(D995=5,H995="Pagas no prorrateadas"),1316.49*(F995*G995),AND(D995=7,H995="Pagas prorrateadas"),1493.61*(F995*G995),AND(D995=7,H995="Pagas no prorrateadas"),1280.24*(F995*G995)))</f>
        <v/>
      </c>
      <c r="K995" s="106" t="str">
        <f aca="false">IF(A995="","",IF(J995-I995&gt;=0,"OK",J995-I995))</f>
        <v/>
      </c>
    </row>
    <row r="996" customFormat="false" ht="14.25" hidden="false" customHeight="true" outlineLevel="0" collapsed="false">
      <c r="A996" s="106"/>
      <c r="B996" s="106"/>
      <c r="C996" s="107"/>
      <c r="D996" s="106"/>
      <c r="E996" s="106"/>
      <c r="F996" s="108"/>
      <c r="G996" s="108"/>
      <c r="H996" s="106"/>
      <c r="I996" s="107"/>
      <c r="J996" s="131" t="str">
        <f aca="false" t="array" ref="J996:J996">IF(A996="","",ifs(AND(D996=1,H996="Pagas prorrateadas"),2705.41*(F996*G996),AND(D996=1,H996="Pagas no prorrateadas"),2318.93*(F996*G996),AND(D996=2,H996="Pagas prorrateadas"),2246.07*(F996*G996),AND(D996=2,H996="Pagas no prorrateadas"),1925.21*(F996*G996),AND(D996=3,H996="Pagas prorrateadas"),1775.44*(F996*G996),AND(D996=3,H996="Pagas no prorrateadas"),1521.81*(F996*G996),AND(D996=5,H996="Pagas prorrateadas"),1535.9*(F996*G996),AND(D996=5,H996="Pagas no prorrateadas"),1316.49*(F996*G996),AND(D996=7,H996="Pagas prorrateadas"),1493.61*(F996*G996),AND(D996=7,H996="Pagas no prorrateadas"),1280.24*(F996*G996)))</f>
        <v/>
      </c>
      <c r="K996" s="106" t="str">
        <f aca="false">IF(A996="","",IF(J996-I996&gt;=0,"OK",J996-I996))</f>
        <v/>
      </c>
    </row>
    <row r="997" customFormat="false" ht="14.25" hidden="false" customHeight="true" outlineLevel="0" collapsed="false">
      <c r="A997" s="106"/>
      <c r="B997" s="106"/>
      <c r="C997" s="107"/>
      <c r="D997" s="106"/>
      <c r="E997" s="106"/>
      <c r="F997" s="108"/>
      <c r="G997" s="108"/>
      <c r="H997" s="106"/>
      <c r="I997" s="107"/>
      <c r="J997" s="131" t="str">
        <f aca="false" t="array" ref="J997:J997">IF(A997="","",ifs(AND(D997=1,H997="Pagas prorrateadas"),2705.41*(F997*G997),AND(D997=1,H997="Pagas no prorrateadas"),2318.93*(F997*G997),AND(D997=2,H997="Pagas prorrateadas"),2246.07*(F997*G997),AND(D997=2,H997="Pagas no prorrateadas"),1925.21*(F997*G997),AND(D997=3,H997="Pagas prorrateadas"),1775.44*(F997*G997),AND(D997=3,H997="Pagas no prorrateadas"),1521.81*(F997*G997),AND(D997=5,H997="Pagas prorrateadas"),1535.9*(F997*G997),AND(D997=5,H997="Pagas no prorrateadas"),1316.49*(F997*G997),AND(D997=7,H997="Pagas prorrateadas"),1493.61*(F997*G997),AND(D997=7,H997="Pagas no prorrateadas"),1280.24*(F997*G997)))</f>
        <v/>
      </c>
      <c r="K997" s="106" t="str">
        <f aca="false">IF(A997="","",IF(J997-I997&gt;=0,"OK",J997-I997))</f>
        <v/>
      </c>
    </row>
    <row r="998" customFormat="false" ht="14.25" hidden="false" customHeight="true" outlineLevel="0" collapsed="false">
      <c r="A998" s="106"/>
      <c r="B998" s="106"/>
      <c r="C998" s="107"/>
      <c r="D998" s="106"/>
      <c r="E998" s="106"/>
      <c r="F998" s="108"/>
      <c r="G998" s="108"/>
      <c r="H998" s="106"/>
      <c r="I998" s="107"/>
      <c r="J998" s="131" t="str">
        <f aca="false" t="array" ref="J998:J998">IF(A998="","",ifs(AND(D998=1,H998="Pagas prorrateadas"),2705.41*(F998*G998),AND(D998=1,H998="Pagas no prorrateadas"),2318.93*(F998*G998),AND(D998=2,H998="Pagas prorrateadas"),2246.07*(F998*G998),AND(D998=2,H998="Pagas no prorrateadas"),1925.21*(F998*G998),AND(D998=3,H998="Pagas prorrateadas"),1775.44*(F998*G998),AND(D998=3,H998="Pagas no prorrateadas"),1521.81*(F998*G998),AND(D998=5,H998="Pagas prorrateadas"),1535.9*(F998*G998),AND(D998=5,H998="Pagas no prorrateadas"),1316.49*(F998*G998),AND(D998=7,H998="Pagas prorrateadas"),1493.61*(F998*G998),AND(D998=7,H998="Pagas no prorrateadas"),1280.24*(F998*G998)))</f>
        <v/>
      </c>
      <c r="K998" s="106" t="str">
        <f aca="false">IF(A998="","",IF(J998-I998&gt;=0,"OK",J998-I998))</f>
        <v/>
      </c>
    </row>
    <row r="999" customFormat="false" ht="14.25" hidden="false" customHeight="true" outlineLevel="0" collapsed="false">
      <c r="A999" s="106"/>
      <c r="B999" s="106"/>
      <c r="C999" s="107"/>
      <c r="D999" s="106"/>
      <c r="E999" s="106"/>
      <c r="F999" s="108"/>
      <c r="G999" s="108"/>
      <c r="H999" s="106"/>
      <c r="I999" s="107"/>
      <c r="J999" s="131" t="str">
        <f aca="false" t="array" ref="J999:J999">IF(A999="","",ifs(AND(D999=1,H999="Pagas prorrateadas"),2705.41*(F999*G999),AND(D999=1,H999="Pagas no prorrateadas"),2318.93*(F999*G999),AND(D999=2,H999="Pagas prorrateadas"),2246.07*(F999*G999),AND(D999=2,H999="Pagas no prorrateadas"),1925.21*(F999*G999),AND(D999=3,H999="Pagas prorrateadas"),1775.44*(F999*G999),AND(D999=3,H999="Pagas no prorrateadas"),1521.81*(F999*G999),AND(D999=5,H999="Pagas prorrateadas"),1535.9*(F999*G999),AND(D999=5,H999="Pagas no prorrateadas"),1316.49*(F999*G999),AND(D999=7,H999="Pagas prorrateadas"),1493.61*(F999*G999),AND(D999=7,H999="Pagas no prorrateadas"),1280.24*(F999*G999)))</f>
        <v/>
      </c>
      <c r="K999" s="106" t="str">
        <f aca="false">IF(A999="","",IF(J999-I999&gt;=0,"OK",J999-I999))</f>
        <v/>
      </c>
    </row>
    <row r="1000" customFormat="false" ht="14.25" hidden="false" customHeight="true" outlineLevel="0" collapsed="false">
      <c r="A1000" s="106"/>
      <c r="B1000" s="106"/>
      <c r="C1000" s="107"/>
      <c r="D1000" s="106"/>
      <c r="E1000" s="106"/>
      <c r="F1000" s="108"/>
      <c r="G1000" s="108"/>
      <c r="H1000" s="106"/>
      <c r="I1000" s="107"/>
      <c r="J1000" s="107"/>
      <c r="K1000" s="106"/>
    </row>
  </sheetData>
  <mergeCells count="1">
    <mergeCell ref="A1:K1"/>
  </mergeCells>
  <conditionalFormatting sqref="A4:K1000">
    <cfRule type="expression" priority="2" aboveAverage="0" equalAverage="0" bottom="0" percent="0" rank="0" text="" dxfId="3">
      <formula>NOT(ISBLANK($A4))</formula>
    </cfRule>
  </conditionalFormatting>
  <conditionalFormatting sqref="K5:K999">
    <cfRule type="cellIs" priority="3" operator="greaterThanOrEqual" aboveAverage="0" equalAverage="0" bottom="0" percent="0" rank="0" text="" dxfId="4">
      <formula>0</formula>
    </cfRule>
    <cfRule type="cellIs" priority="4" operator="lessThan" aboveAverage="0" equalAverage="0" bottom="0" percent="0" rank="0" text="" dxfId="5">
      <formula>0</formula>
    </cfRule>
  </conditionalFormatting>
  <dataValidations count="2">
    <dataValidation allowBlank="true" errorStyle="stop" operator="between" showDropDown="false" showErrorMessage="true" showInputMessage="false" sqref="D5:D990" type="list">
      <formula1>"1,2,3,5,7"</formula1>
      <formula2>0</formula2>
    </dataValidation>
    <dataValidation allowBlank="true" errorStyle="stop" operator="between" showDropDown="false" showErrorMessage="true" showInputMessage="false" sqref="H5:H953" type="list">
      <formula1>"Pagas prorrateadas,Pagas no prorrateadas"</formula1>
      <formula2>0</formula2>
    </dataValidation>
  </dataValidations>
  <printOptions headings="false" gridLines="false" gridLinesSet="true" horizontalCentered="false" verticalCentered="false"/>
  <pageMargins left="0.3625" right="0.0604166666666667" top="0" bottom="0.322222222222222" header="0.511811023622047" footer="0.511811023622047"/>
  <pageSetup paperSize="9" scale="47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000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A1" activeCellId="0" sqref="A1"/>
    </sheetView>
  </sheetViews>
  <sheetFormatPr defaultColWidth="14.4296875" defaultRowHeight="15" zeroHeight="false" outlineLevelRow="0" outlineLevelCol="0"/>
  <cols>
    <col collapsed="false" customWidth="true" hidden="false" outlineLevel="0" max="26" min="1" style="0" width="10.7"/>
  </cols>
  <sheetData>
    <row r="1" customFormat="false" ht="84.75" hidden="false" customHeight="true" outlineLevel="0" collapsed="false">
      <c r="A1" s="1"/>
      <c r="B1" s="1"/>
      <c r="C1" s="1"/>
      <c r="D1" s="1"/>
      <c r="E1" s="1"/>
      <c r="F1" s="1"/>
      <c r="G1" s="1"/>
      <c r="H1" s="1"/>
    </row>
    <row r="2" customFormat="false" ht="54" hidden="false" customHeight="true" outlineLevel="0" collapsed="false">
      <c r="B2" s="132" t="s">
        <v>310</v>
      </c>
      <c r="C2" s="132"/>
      <c r="D2" s="132"/>
      <c r="E2" s="132"/>
      <c r="F2" s="132"/>
      <c r="G2" s="132"/>
    </row>
    <row r="3" customFormat="false" ht="30" hidden="false" customHeight="true" outlineLevel="0" collapsed="false">
      <c r="B3" s="133" t="s">
        <v>311</v>
      </c>
      <c r="C3" s="134" t="s">
        <v>312</v>
      </c>
      <c r="D3" s="134"/>
      <c r="E3" s="134"/>
      <c r="F3" s="134"/>
      <c r="G3" s="134"/>
    </row>
    <row r="4" customFormat="false" ht="30" hidden="false" customHeight="true" outlineLevel="0" collapsed="false">
      <c r="B4" s="133" t="s">
        <v>313</v>
      </c>
      <c r="C4" s="134" t="s">
        <v>314</v>
      </c>
      <c r="D4" s="134"/>
      <c r="E4" s="134"/>
      <c r="F4" s="134"/>
      <c r="G4" s="134"/>
    </row>
    <row r="5" customFormat="false" ht="35.25" hidden="false" customHeight="true" outlineLevel="0" collapsed="false">
      <c r="B5" s="133" t="s">
        <v>315</v>
      </c>
      <c r="C5" s="134" t="s">
        <v>316</v>
      </c>
      <c r="D5" s="134"/>
      <c r="E5" s="134"/>
      <c r="F5" s="134"/>
      <c r="G5" s="134"/>
    </row>
    <row r="6" customFormat="false" ht="33" hidden="false" customHeight="true" outlineLevel="0" collapsed="false">
      <c r="B6" s="133" t="s">
        <v>317</v>
      </c>
      <c r="C6" s="134" t="s">
        <v>318</v>
      </c>
      <c r="D6" s="134"/>
      <c r="E6" s="134"/>
      <c r="F6" s="134"/>
      <c r="G6" s="134"/>
    </row>
    <row r="7" customFormat="false" ht="30" hidden="false" customHeight="true" outlineLevel="0" collapsed="false">
      <c r="B7" s="133" t="s">
        <v>319</v>
      </c>
      <c r="C7" s="134" t="s">
        <v>320</v>
      </c>
      <c r="D7" s="134"/>
      <c r="E7" s="134"/>
      <c r="F7" s="134"/>
      <c r="G7" s="134"/>
    </row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4.25" hidden="false" customHeight="true" outlineLevel="0" collapsed="false"/>
    <row r="25" customFormat="false" ht="14.25" hidden="false" customHeight="true" outlineLevel="0" collapsed="false"/>
    <row r="26" customFormat="false" ht="14.25" hidden="false" customHeight="true" outlineLevel="0" collapsed="false"/>
    <row r="27" customFormat="false" ht="14.25" hidden="false" customHeight="true" outlineLevel="0" collapsed="false"/>
    <row r="28" customFormat="false" ht="14.25" hidden="false" customHeight="true" outlineLevel="0" collapsed="false"/>
    <row r="29" customFormat="false" ht="14.25" hidden="false" customHeight="true" outlineLevel="0" collapsed="false"/>
    <row r="30" customFormat="false" ht="14.25" hidden="false" customHeight="true" outlineLevel="0" collapsed="false"/>
    <row r="31" customFormat="false" ht="14.25" hidden="false" customHeight="true" outlineLevel="0" collapsed="false"/>
    <row r="32" customFormat="false" ht="14.25" hidden="false" customHeight="true" outlineLevel="0" collapsed="false"/>
    <row r="33" customFormat="false" ht="14.25" hidden="false" customHeight="true" outlineLevel="0" collapsed="false"/>
    <row r="34" customFormat="false" ht="14.25" hidden="false" customHeight="true" outlineLevel="0" collapsed="false"/>
    <row r="35" customFormat="false" ht="14.25" hidden="false" customHeight="true" outlineLevel="0" collapsed="false"/>
    <row r="36" customFormat="false" ht="14.25" hidden="false" customHeight="true" outlineLevel="0" collapsed="false"/>
    <row r="37" customFormat="false" ht="14.25" hidden="false" customHeight="true" outlineLevel="0" collapsed="false"/>
    <row r="38" customFormat="false" ht="14.25" hidden="false" customHeight="true" outlineLevel="0" collapsed="false"/>
    <row r="39" customFormat="false" ht="14.25" hidden="false" customHeight="true" outlineLevel="0" collapsed="false"/>
    <row r="40" customFormat="false" ht="14.25" hidden="false" customHeight="true" outlineLevel="0" collapsed="false"/>
    <row r="41" customFormat="false" ht="14.25" hidden="false" customHeight="true" outlineLevel="0" collapsed="false"/>
    <row r="42" customFormat="false" ht="14.25" hidden="false" customHeight="true" outlineLevel="0" collapsed="false"/>
    <row r="43" customFormat="false" ht="14.25" hidden="false" customHeight="true" outlineLevel="0" collapsed="false"/>
    <row r="44" customFormat="false" ht="14.25" hidden="false" customHeight="true" outlineLevel="0" collapsed="false"/>
    <row r="45" customFormat="false" ht="14.25" hidden="false" customHeight="true" outlineLevel="0" collapsed="false"/>
    <row r="46" customFormat="false" ht="14.25" hidden="false" customHeight="true" outlineLevel="0" collapsed="false"/>
    <row r="47" customFormat="false" ht="14.25" hidden="false" customHeight="true" outlineLevel="0" collapsed="false"/>
    <row r="48" customFormat="false" ht="14.25" hidden="false" customHeight="true" outlineLevel="0" collapsed="false"/>
    <row r="49" customFormat="false" ht="14.25" hidden="false" customHeight="true" outlineLevel="0" collapsed="false"/>
    <row r="50" customFormat="false" ht="14.25" hidden="false" customHeight="true" outlineLevel="0" collapsed="false"/>
    <row r="51" customFormat="false" ht="14.25" hidden="false" customHeight="true" outlineLevel="0" collapsed="false"/>
    <row r="52" customFormat="false" ht="14.25" hidden="false" customHeight="true" outlineLevel="0" collapsed="false"/>
    <row r="53" customFormat="false" ht="14.25" hidden="false" customHeight="true" outlineLevel="0" collapsed="false"/>
    <row r="54" customFormat="false" ht="14.25" hidden="false" customHeight="true" outlineLevel="0" collapsed="false"/>
    <row r="55" customFormat="false" ht="14.25" hidden="false" customHeight="true" outlineLevel="0" collapsed="false"/>
    <row r="56" customFormat="false" ht="14.25" hidden="false" customHeight="true" outlineLevel="0" collapsed="false"/>
    <row r="57" customFormat="false" ht="14.25" hidden="false" customHeight="true" outlineLevel="0" collapsed="false"/>
    <row r="58" customFormat="false" ht="14.25" hidden="false" customHeight="true" outlineLevel="0" collapsed="false"/>
    <row r="59" customFormat="false" ht="14.25" hidden="false" customHeight="true" outlineLevel="0" collapsed="false"/>
    <row r="60" customFormat="false" ht="14.25" hidden="false" customHeight="true" outlineLevel="0" collapsed="false"/>
    <row r="61" customFormat="false" ht="14.25" hidden="false" customHeight="true" outlineLevel="0" collapsed="false"/>
    <row r="62" customFormat="false" ht="14.25" hidden="false" customHeight="true" outlineLevel="0" collapsed="false"/>
    <row r="63" customFormat="false" ht="14.25" hidden="false" customHeight="true" outlineLevel="0" collapsed="false"/>
    <row r="64" customFormat="false" ht="14.25" hidden="false" customHeight="true" outlineLevel="0" collapsed="false"/>
    <row r="65" customFormat="false" ht="14.25" hidden="false" customHeight="true" outlineLevel="0" collapsed="false"/>
    <row r="66" customFormat="false" ht="14.25" hidden="false" customHeight="true" outlineLevel="0" collapsed="false"/>
    <row r="67" customFormat="false" ht="14.25" hidden="false" customHeight="true" outlineLevel="0" collapsed="false"/>
    <row r="68" customFormat="false" ht="14.25" hidden="false" customHeight="true" outlineLevel="0" collapsed="false"/>
    <row r="69" customFormat="false" ht="14.25" hidden="false" customHeight="true" outlineLevel="0" collapsed="false"/>
    <row r="70" customFormat="false" ht="14.25" hidden="false" customHeight="true" outlineLevel="0" collapsed="false"/>
    <row r="71" customFormat="false" ht="14.25" hidden="false" customHeight="true" outlineLevel="0" collapsed="false"/>
    <row r="72" customFormat="false" ht="14.25" hidden="false" customHeight="true" outlineLevel="0" collapsed="false"/>
    <row r="73" customFormat="false" ht="14.25" hidden="false" customHeight="true" outlineLevel="0" collapsed="false"/>
    <row r="74" customFormat="false" ht="14.25" hidden="false" customHeight="true" outlineLevel="0" collapsed="false"/>
    <row r="75" customFormat="false" ht="14.25" hidden="false" customHeight="true" outlineLevel="0" collapsed="false"/>
    <row r="76" customFormat="false" ht="14.25" hidden="false" customHeight="true" outlineLevel="0" collapsed="false"/>
    <row r="77" customFormat="false" ht="14.25" hidden="false" customHeight="true" outlineLevel="0" collapsed="false"/>
    <row r="78" customFormat="false" ht="14.25" hidden="false" customHeight="true" outlineLevel="0" collapsed="false"/>
    <row r="79" customFormat="false" ht="14.25" hidden="false" customHeight="true" outlineLevel="0" collapsed="false"/>
    <row r="80" customFormat="false" ht="14.25" hidden="false" customHeight="true" outlineLevel="0" collapsed="false"/>
    <row r="81" customFormat="false" ht="14.25" hidden="false" customHeight="true" outlineLevel="0" collapsed="false"/>
    <row r="82" customFormat="false" ht="14.25" hidden="false" customHeight="true" outlineLevel="0" collapsed="false"/>
    <row r="83" customFormat="false" ht="14.25" hidden="false" customHeight="true" outlineLevel="0" collapsed="false"/>
    <row r="84" customFormat="false" ht="14.25" hidden="false" customHeight="true" outlineLevel="0" collapsed="false"/>
    <row r="85" customFormat="false" ht="14.25" hidden="false" customHeight="true" outlineLevel="0" collapsed="false"/>
    <row r="86" customFormat="false" ht="14.25" hidden="false" customHeight="true" outlineLevel="0" collapsed="false"/>
    <row r="87" customFormat="false" ht="14.25" hidden="false" customHeight="true" outlineLevel="0" collapsed="false"/>
    <row r="88" customFormat="false" ht="14.25" hidden="false" customHeight="true" outlineLevel="0" collapsed="false"/>
    <row r="89" customFormat="false" ht="14.25" hidden="false" customHeight="true" outlineLevel="0" collapsed="false"/>
    <row r="90" customFormat="false" ht="14.25" hidden="false" customHeight="true" outlineLevel="0" collapsed="false"/>
    <row r="91" customFormat="false" ht="14.25" hidden="false" customHeight="true" outlineLevel="0" collapsed="false"/>
    <row r="92" customFormat="false" ht="14.25" hidden="false" customHeight="true" outlineLevel="0" collapsed="false"/>
    <row r="93" customFormat="false" ht="14.25" hidden="false" customHeight="true" outlineLevel="0" collapsed="false"/>
    <row r="94" customFormat="false" ht="14.25" hidden="false" customHeight="true" outlineLevel="0" collapsed="false"/>
    <row r="95" customFormat="false" ht="14.25" hidden="false" customHeight="true" outlineLevel="0" collapsed="false"/>
    <row r="96" customFormat="false" ht="14.25" hidden="false" customHeight="true" outlineLevel="0" collapsed="false"/>
    <row r="97" customFormat="false" ht="14.25" hidden="false" customHeight="true" outlineLevel="0" collapsed="false"/>
    <row r="98" customFormat="false" ht="14.25" hidden="false" customHeight="true" outlineLevel="0" collapsed="false"/>
    <row r="99" customFormat="false" ht="14.25" hidden="false" customHeight="true" outlineLevel="0" collapsed="false"/>
    <row r="100" customFormat="false" ht="14.25" hidden="false" customHeight="true" outlineLevel="0" collapsed="false"/>
    <row r="101" customFormat="false" ht="14.25" hidden="false" customHeight="true" outlineLevel="0" collapsed="false"/>
    <row r="102" customFormat="false" ht="14.25" hidden="false" customHeight="true" outlineLevel="0" collapsed="false"/>
    <row r="103" customFormat="false" ht="14.25" hidden="false" customHeight="true" outlineLevel="0" collapsed="false"/>
    <row r="104" customFormat="false" ht="14.25" hidden="false" customHeight="true" outlineLevel="0" collapsed="false"/>
    <row r="105" customFormat="false" ht="14.25" hidden="false" customHeight="true" outlineLevel="0" collapsed="false"/>
    <row r="106" customFormat="false" ht="14.25" hidden="false" customHeight="true" outlineLevel="0" collapsed="false"/>
    <row r="107" customFormat="false" ht="14.25" hidden="false" customHeight="true" outlineLevel="0" collapsed="false"/>
    <row r="108" customFormat="false" ht="14.25" hidden="false" customHeight="true" outlineLevel="0" collapsed="false"/>
    <row r="109" customFormat="false" ht="14.25" hidden="false" customHeight="true" outlineLevel="0" collapsed="false"/>
    <row r="110" customFormat="false" ht="14.25" hidden="false" customHeight="true" outlineLevel="0" collapsed="false"/>
    <row r="111" customFormat="false" ht="14.25" hidden="false" customHeight="true" outlineLevel="0" collapsed="false"/>
    <row r="112" customFormat="false" ht="14.25" hidden="false" customHeight="true" outlineLevel="0" collapsed="false"/>
    <row r="113" customFormat="false" ht="14.25" hidden="false" customHeight="true" outlineLevel="0" collapsed="false"/>
    <row r="114" customFormat="false" ht="14.25" hidden="false" customHeight="true" outlineLevel="0" collapsed="false"/>
    <row r="115" customFormat="false" ht="14.25" hidden="false" customHeight="true" outlineLevel="0" collapsed="false"/>
    <row r="116" customFormat="false" ht="14.25" hidden="false" customHeight="true" outlineLevel="0" collapsed="false"/>
    <row r="117" customFormat="false" ht="14.25" hidden="false" customHeight="true" outlineLevel="0" collapsed="false"/>
    <row r="118" customFormat="false" ht="14.25" hidden="false" customHeight="true" outlineLevel="0" collapsed="false"/>
    <row r="119" customFormat="false" ht="14.25" hidden="false" customHeight="true" outlineLevel="0" collapsed="false"/>
    <row r="120" customFormat="false" ht="14.25" hidden="false" customHeight="true" outlineLevel="0" collapsed="false"/>
    <row r="121" customFormat="false" ht="14.25" hidden="false" customHeight="true" outlineLevel="0" collapsed="false"/>
    <row r="122" customFormat="false" ht="14.25" hidden="false" customHeight="true" outlineLevel="0" collapsed="false"/>
    <row r="123" customFormat="false" ht="14.25" hidden="false" customHeight="true" outlineLevel="0" collapsed="false"/>
    <row r="124" customFormat="false" ht="14.25" hidden="false" customHeight="true" outlineLevel="0" collapsed="false"/>
    <row r="125" customFormat="false" ht="14.25" hidden="false" customHeight="true" outlineLevel="0" collapsed="false"/>
    <row r="126" customFormat="false" ht="14.25" hidden="false" customHeight="true" outlineLevel="0" collapsed="false"/>
    <row r="127" customFormat="false" ht="14.25" hidden="false" customHeight="true" outlineLevel="0" collapsed="false"/>
    <row r="128" customFormat="false" ht="14.25" hidden="false" customHeight="true" outlineLevel="0" collapsed="false"/>
    <row r="129" customFormat="false" ht="14.25" hidden="false" customHeight="true" outlineLevel="0" collapsed="false"/>
    <row r="130" customFormat="false" ht="14.25" hidden="false" customHeight="true" outlineLevel="0" collapsed="false"/>
    <row r="131" customFormat="false" ht="14.25" hidden="false" customHeight="true" outlineLevel="0" collapsed="false"/>
    <row r="132" customFormat="false" ht="14.25" hidden="false" customHeight="true" outlineLevel="0" collapsed="false"/>
    <row r="133" customFormat="false" ht="14.25" hidden="false" customHeight="true" outlineLevel="0" collapsed="false"/>
    <row r="134" customFormat="false" ht="14.25" hidden="false" customHeight="true" outlineLevel="0" collapsed="false"/>
    <row r="135" customFormat="false" ht="14.25" hidden="false" customHeight="true" outlineLevel="0" collapsed="false"/>
    <row r="136" customFormat="false" ht="14.25" hidden="false" customHeight="true" outlineLevel="0" collapsed="false"/>
    <row r="137" customFormat="false" ht="14.25" hidden="false" customHeight="true" outlineLevel="0" collapsed="false"/>
    <row r="138" customFormat="false" ht="14.25" hidden="false" customHeight="true" outlineLevel="0" collapsed="false"/>
    <row r="139" customFormat="false" ht="14.25" hidden="false" customHeight="true" outlineLevel="0" collapsed="false"/>
    <row r="140" customFormat="false" ht="14.25" hidden="false" customHeight="true" outlineLevel="0" collapsed="false"/>
    <row r="141" customFormat="false" ht="14.25" hidden="false" customHeight="true" outlineLevel="0" collapsed="false"/>
    <row r="142" customFormat="false" ht="14.25" hidden="false" customHeight="true" outlineLevel="0" collapsed="false"/>
    <row r="143" customFormat="false" ht="14.25" hidden="false" customHeight="true" outlineLevel="0" collapsed="false"/>
    <row r="144" customFormat="false" ht="14.25" hidden="false" customHeight="true" outlineLevel="0" collapsed="false"/>
    <row r="145" customFormat="false" ht="14.25" hidden="false" customHeight="true" outlineLevel="0" collapsed="false"/>
    <row r="146" customFormat="false" ht="14.25" hidden="false" customHeight="true" outlineLevel="0" collapsed="false"/>
    <row r="147" customFormat="false" ht="14.25" hidden="false" customHeight="true" outlineLevel="0" collapsed="false"/>
    <row r="148" customFormat="false" ht="14.25" hidden="false" customHeight="true" outlineLevel="0" collapsed="false"/>
    <row r="149" customFormat="false" ht="14.25" hidden="false" customHeight="true" outlineLevel="0" collapsed="false"/>
    <row r="150" customFormat="false" ht="14.25" hidden="false" customHeight="true" outlineLevel="0" collapsed="false"/>
    <row r="151" customFormat="false" ht="14.25" hidden="false" customHeight="true" outlineLevel="0" collapsed="false"/>
    <row r="152" customFormat="false" ht="14.25" hidden="false" customHeight="true" outlineLevel="0" collapsed="false"/>
    <row r="153" customFormat="false" ht="14.25" hidden="false" customHeight="true" outlineLevel="0" collapsed="false"/>
    <row r="154" customFormat="false" ht="14.25" hidden="false" customHeight="true" outlineLevel="0" collapsed="false"/>
    <row r="155" customFormat="false" ht="14.25" hidden="false" customHeight="true" outlineLevel="0" collapsed="false"/>
    <row r="156" customFormat="false" ht="14.25" hidden="false" customHeight="true" outlineLevel="0" collapsed="false"/>
    <row r="157" customFormat="false" ht="14.25" hidden="false" customHeight="true" outlineLevel="0" collapsed="false"/>
    <row r="158" customFormat="false" ht="14.25" hidden="false" customHeight="true" outlineLevel="0" collapsed="false"/>
    <row r="159" customFormat="false" ht="14.25" hidden="false" customHeight="true" outlineLevel="0" collapsed="false"/>
    <row r="160" customFormat="false" ht="14.25" hidden="false" customHeight="true" outlineLevel="0" collapsed="false"/>
    <row r="161" customFormat="false" ht="14.25" hidden="false" customHeight="true" outlineLevel="0" collapsed="false"/>
    <row r="162" customFormat="false" ht="14.25" hidden="false" customHeight="true" outlineLevel="0" collapsed="false"/>
    <row r="163" customFormat="false" ht="14.25" hidden="false" customHeight="true" outlineLevel="0" collapsed="false"/>
    <row r="164" customFormat="false" ht="14.25" hidden="false" customHeight="true" outlineLevel="0" collapsed="false"/>
    <row r="165" customFormat="false" ht="14.25" hidden="false" customHeight="true" outlineLevel="0" collapsed="false"/>
    <row r="166" customFormat="false" ht="14.25" hidden="false" customHeight="true" outlineLevel="0" collapsed="false"/>
    <row r="167" customFormat="false" ht="14.25" hidden="false" customHeight="true" outlineLevel="0" collapsed="false"/>
    <row r="168" customFormat="false" ht="14.25" hidden="false" customHeight="true" outlineLevel="0" collapsed="false"/>
    <row r="169" customFormat="false" ht="14.25" hidden="false" customHeight="true" outlineLevel="0" collapsed="false"/>
    <row r="170" customFormat="false" ht="14.25" hidden="false" customHeight="true" outlineLevel="0" collapsed="false"/>
    <row r="171" customFormat="false" ht="14.25" hidden="false" customHeight="true" outlineLevel="0" collapsed="false"/>
    <row r="172" customFormat="false" ht="14.25" hidden="false" customHeight="true" outlineLevel="0" collapsed="false"/>
    <row r="173" customFormat="false" ht="14.25" hidden="false" customHeight="true" outlineLevel="0" collapsed="false"/>
    <row r="174" customFormat="false" ht="14.25" hidden="false" customHeight="true" outlineLevel="0" collapsed="false"/>
    <row r="175" customFormat="false" ht="14.25" hidden="false" customHeight="true" outlineLevel="0" collapsed="false"/>
    <row r="176" customFormat="false" ht="14.25" hidden="false" customHeight="true" outlineLevel="0" collapsed="false"/>
    <row r="177" customFormat="false" ht="14.25" hidden="false" customHeight="true" outlineLevel="0" collapsed="false"/>
    <row r="178" customFormat="false" ht="14.25" hidden="false" customHeight="true" outlineLevel="0" collapsed="false"/>
    <row r="179" customFormat="false" ht="14.25" hidden="false" customHeight="true" outlineLevel="0" collapsed="false"/>
    <row r="180" customFormat="false" ht="14.25" hidden="false" customHeight="true" outlineLevel="0" collapsed="false"/>
    <row r="181" customFormat="false" ht="14.25" hidden="false" customHeight="true" outlineLevel="0" collapsed="false"/>
    <row r="182" customFormat="false" ht="14.25" hidden="false" customHeight="true" outlineLevel="0" collapsed="false"/>
    <row r="183" customFormat="false" ht="14.25" hidden="false" customHeight="true" outlineLevel="0" collapsed="false"/>
    <row r="184" customFormat="false" ht="14.25" hidden="false" customHeight="true" outlineLevel="0" collapsed="false"/>
    <row r="185" customFormat="false" ht="14.25" hidden="false" customHeight="true" outlineLevel="0" collapsed="false"/>
    <row r="186" customFormat="false" ht="14.25" hidden="false" customHeight="true" outlineLevel="0" collapsed="false"/>
    <row r="187" customFormat="false" ht="14.25" hidden="false" customHeight="true" outlineLevel="0" collapsed="false"/>
    <row r="188" customFormat="false" ht="14.25" hidden="false" customHeight="true" outlineLevel="0" collapsed="false"/>
    <row r="189" customFormat="false" ht="14.25" hidden="false" customHeight="true" outlineLevel="0" collapsed="false"/>
    <row r="190" customFormat="false" ht="14.25" hidden="false" customHeight="true" outlineLevel="0" collapsed="false"/>
    <row r="191" customFormat="false" ht="14.25" hidden="false" customHeight="true" outlineLevel="0" collapsed="false"/>
    <row r="192" customFormat="false" ht="14.25" hidden="false" customHeight="true" outlineLevel="0" collapsed="false"/>
    <row r="193" customFormat="false" ht="14.25" hidden="false" customHeight="true" outlineLevel="0" collapsed="false"/>
    <row r="194" customFormat="false" ht="14.25" hidden="false" customHeight="true" outlineLevel="0" collapsed="false"/>
    <row r="195" customFormat="false" ht="14.25" hidden="false" customHeight="true" outlineLevel="0" collapsed="false"/>
    <row r="196" customFormat="false" ht="14.25" hidden="false" customHeight="true" outlineLevel="0" collapsed="false"/>
    <row r="197" customFormat="false" ht="14.25" hidden="false" customHeight="true" outlineLevel="0" collapsed="false"/>
    <row r="198" customFormat="false" ht="14.25" hidden="false" customHeight="true" outlineLevel="0" collapsed="false"/>
    <row r="199" customFormat="false" ht="14.25" hidden="false" customHeight="true" outlineLevel="0" collapsed="false"/>
    <row r="200" customFormat="false" ht="14.25" hidden="false" customHeight="true" outlineLevel="0" collapsed="false"/>
    <row r="201" customFormat="false" ht="14.25" hidden="false" customHeight="true" outlineLevel="0" collapsed="false"/>
    <row r="202" customFormat="false" ht="14.25" hidden="false" customHeight="true" outlineLevel="0" collapsed="false"/>
    <row r="203" customFormat="false" ht="14.25" hidden="false" customHeight="true" outlineLevel="0" collapsed="false"/>
    <row r="204" customFormat="false" ht="14.25" hidden="false" customHeight="true" outlineLevel="0" collapsed="false"/>
    <row r="205" customFormat="false" ht="14.25" hidden="false" customHeight="true" outlineLevel="0" collapsed="false"/>
    <row r="206" customFormat="false" ht="14.25" hidden="false" customHeight="true" outlineLevel="0" collapsed="false"/>
    <row r="207" customFormat="false" ht="14.25" hidden="false" customHeight="true" outlineLevel="0" collapsed="false"/>
    <row r="208" customFormat="false" ht="14.25" hidden="false" customHeight="true" outlineLevel="0" collapsed="false"/>
    <row r="209" customFormat="false" ht="14.25" hidden="false" customHeight="true" outlineLevel="0" collapsed="false"/>
    <row r="210" customFormat="false" ht="14.25" hidden="false" customHeight="true" outlineLevel="0" collapsed="false"/>
    <row r="211" customFormat="false" ht="14.25" hidden="false" customHeight="true" outlineLevel="0" collapsed="false"/>
    <row r="212" customFormat="false" ht="14.25" hidden="false" customHeight="true" outlineLevel="0" collapsed="false"/>
    <row r="213" customFormat="false" ht="14.25" hidden="false" customHeight="true" outlineLevel="0" collapsed="false"/>
    <row r="214" customFormat="false" ht="14.25" hidden="false" customHeight="true" outlineLevel="0" collapsed="false"/>
    <row r="215" customFormat="false" ht="14.25" hidden="false" customHeight="true" outlineLevel="0" collapsed="false"/>
    <row r="216" customFormat="false" ht="14.25" hidden="false" customHeight="true" outlineLevel="0" collapsed="false"/>
    <row r="217" customFormat="false" ht="14.25" hidden="false" customHeight="true" outlineLevel="0" collapsed="false"/>
    <row r="218" customFormat="false" ht="14.25" hidden="false" customHeight="true" outlineLevel="0" collapsed="false"/>
    <row r="219" customFormat="false" ht="14.25" hidden="false" customHeight="true" outlineLevel="0" collapsed="false"/>
    <row r="220" customFormat="false" ht="14.25" hidden="false" customHeight="true" outlineLevel="0" collapsed="false"/>
    <row r="221" customFormat="false" ht="14.25" hidden="false" customHeight="true" outlineLevel="0" collapsed="false"/>
    <row r="222" customFormat="false" ht="14.25" hidden="false" customHeight="true" outlineLevel="0" collapsed="false"/>
    <row r="223" customFormat="false" ht="14.25" hidden="false" customHeight="true" outlineLevel="0" collapsed="false"/>
    <row r="224" customFormat="false" ht="14.25" hidden="false" customHeight="true" outlineLevel="0" collapsed="false"/>
    <row r="225" customFormat="false" ht="14.25" hidden="false" customHeight="true" outlineLevel="0" collapsed="false"/>
    <row r="226" customFormat="false" ht="14.25" hidden="false" customHeight="true" outlineLevel="0" collapsed="false"/>
    <row r="227" customFormat="false" ht="14.25" hidden="false" customHeight="true" outlineLevel="0" collapsed="false"/>
    <row r="228" customFormat="false" ht="14.25" hidden="false" customHeight="true" outlineLevel="0" collapsed="false"/>
    <row r="229" customFormat="false" ht="14.25" hidden="false" customHeight="true" outlineLevel="0" collapsed="false"/>
    <row r="230" customFormat="false" ht="14.25" hidden="false" customHeight="true" outlineLevel="0" collapsed="false"/>
    <row r="231" customFormat="false" ht="14.25" hidden="false" customHeight="true" outlineLevel="0" collapsed="false"/>
    <row r="232" customFormat="false" ht="14.25" hidden="false" customHeight="true" outlineLevel="0" collapsed="false"/>
    <row r="233" customFormat="false" ht="14.25" hidden="false" customHeight="true" outlineLevel="0" collapsed="false"/>
    <row r="234" customFormat="false" ht="14.25" hidden="false" customHeight="true" outlineLevel="0" collapsed="false"/>
    <row r="235" customFormat="false" ht="14.25" hidden="false" customHeight="true" outlineLevel="0" collapsed="false"/>
    <row r="236" customFormat="false" ht="14.25" hidden="false" customHeight="true" outlineLevel="0" collapsed="false"/>
    <row r="237" customFormat="false" ht="14.25" hidden="false" customHeight="true" outlineLevel="0" collapsed="false"/>
    <row r="238" customFormat="false" ht="14.25" hidden="false" customHeight="true" outlineLevel="0" collapsed="false"/>
    <row r="239" customFormat="false" ht="14.25" hidden="false" customHeight="true" outlineLevel="0" collapsed="false"/>
    <row r="240" customFormat="false" ht="14.25" hidden="false" customHeight="true" outlineLevel="0" collapsed="false"/>
    <row r="241" customFormat="false" ht="14.25" hidden="false" customHeight="true" outlineLevel="0" collapsed="false"/>
    <row r="242" customFormat="false" ht="14.25" hidden="false" customHeight="true" outlineLevel="0" collapsed="false"/>
    <row r="243" customFormat="false" ht="14.25" hidden="false" customHeight="true" outlineLevel="0" collapsed="false"/>
    <row r="244" customFormat="false" ht="14.25" hidden="false" customHeight="true" outlineLevel="0" collapsed="false"/>
    <row r="245" customFormat="false" ht="14.25" hidden="false" customHeight="true" outlineLevel="0" collapsed="false"/>
    <row r="246" customFormat="false" ht="14.25" hidden="false" customHeight="true" outlineLevel="0" collapsed="false"/>
    <row r="247" customFormat="false" ht="14.25" hidden="false" customHeight="true" outlineLevel="0" collapsed="false"/>
    <row r="248" customFormat="false" ht="14.25" hidden="false" customHeight="true" outlineLevel="0" collapsed="false"/>
    <row r="249" customFormat="false" ht="14.25" hidden="false" customHeight="true" outlineLevel="0" collapsed="false"/>
    <row r="250" customFormat="false" ht="14.25" hidden="false" customHeight="true" outlineLevel="0" collapsed="false"/>
    <row r="251" customFormat="false" ht="14.25" hidden="false" customHeight="true" outlineLevel="0" collapsed="false"/>
    <row r="252" customFormat="false" ht="14.25" hidden="false" customHeight="true" outlineLevel="0" collapsed="false"/>
    <row r="253" customFormat="false" ht="14.25" hidden="false" customHeight="true" outlineLevel="0" collapsed="false"/>
    <row r="254" customFormat="false" ht="14.25" hidden="false" customHeight="true" outlineLevel="0" collapsed="false"/>
    <row r="255" customFormat="false" ht="14.25" hidden="false" customHeight="true" outlineLevel="0" collapsed="false"/>
    <row r="256" customFormat="false" ht="14.25" hidden="false" customHeight="true" outlineLevel="0" collapsed="false"/>
    <row r="257" customFormat="false" ht="14.25" hidden="false" customHeight="true" outlineLevel="0" collapsed="false"/>
    <row r="258" customFormat="false" ht="14.25" hidden="false" customHeight="true" outlineLevel="0" collapsed="false"/>
    <row r="259" customFormat="false" ht="14.25" hidden="false" customHeight="true" outlineLevel="0" collapsed="false"/>
    <row r="260" customFormat="false" ht="14.25" hidden="false" customHeight="true" outlineLevel="0" collapsed="false"/>
    <row r="261" customFormat="false" ht="14.25" hidden="false" customHeight="true" outlineLevel="0" collapsed="false"/>
    <row r="262" customFormat="false" ht="14.25" hidden="false" customHeight="true" outlineLevel="0" collapsed="false"/>
    <row r="263" customFormat="false" ht="14.25" hidden="false" customHeight="true" outlineLevel="0" collapsed="false"/>
    <row r="264" customFormat="false" ht="14.25" hidden="false" customHeight="true" outlineLevel="0" collapsed="false"/>
    <row r="265" customFormat="false" ht="14.25" hidden="false" customHeight="true" outlineLevel="0" collapsed="false"/>
    <row r="266" customFormat="false" ht="14.25" hidden="false" customHeight="true" outlineLevel="0" collapsed="false"/>
    <row r="267" customFormat="false" ht="14.25" hidden="false" customHeight="true" outlineLevel="0" collapsed="false"/>
    <row r="268" customFormat="false" ht="14.25" hidden="false" customHeight="true" outlineLevel="0" collapsed="false"/>
    <row r="269" customFormat="false" ht="14.25" hidden="false" customHeight="true" outlineLevel="0" collapsed="false"/>
    <row r="270" customFormat="false" ht="14.25" hidden="false" customHeight="true" outlineLevel="0" collapsed="false"/>
    <row r="271" customFormat="false" ht="14.25" hidden="false" customHeight="true" outlineLevel="0" collapsed="false"/>
    <row r="272" customFormat="false" ht="14.25" hidden="false" customHeight="true" outlineLevel="0" collapsed="false"/>
    <row r="273" customFormat="false" ht="14.25" hidden="false" customHeight="true" outlineLevel="0" collapsed="false"/>
    <row r="274" customFormat="false" ht="14.25" hidden="false" customHeight="true" outlineLevel="0" collapsed="false"/>
    <row r="275" customFormat="false" ht="14.25" hidden="false" customHeight="true" outlineLevel="0" collapsed="false"/>
    <row r="276" customFormat="false" ht="14.25" hidden="false" customHeight="true" outlineLevel="0" collapsed="false"/>
    <row r="277" customFormat="false" ht="14.25" hidden="false" customHeight="true" outlineLevel="0" collapsed="false"/>
    <row r="278" customFormat="false" ht="14.25" hidden="false" customHeight="true" outlineLevel="0" collapsed="false"/>
    <row r="279" customFormat="false" ht="14.25" hidden="false" customHeight="true" outlineLevel="0" collapsed="false"/>
    <row r="280" customFormat="false" ht="14.25" hidden="false" customHeight="true" outlineLevel="0" collapsed="false"/>
    <row r="281" customFormat="false" ht="14.25" hidden="false" customHeight="true" outlineLevel="0" collapsed="false"/>
    <row r="282" customFormat="false" ht="14.25" hidden="false" customHeight="true" outlineLevel="0" collapsed="false"/>
    <row r="283" customFormat="false" ht="14.25" hidden="false" customHeight="true" outlineLevel="0" collapsed="false"/>
    <row r="284" customFormat="false" ht="14.25" hidden="false" customHeight="true" outlineLevel="0" collapsed="false"/>
    <row r="285" customFormat="false" ht="14.25" hidden="false" customHeight="true" outlineLevel="0" collapsed="false"/>
    <row r="286" customFormat="false" ht="14.25" hidden="false" customHeight="true" outlineLevel="0" collapsed="false"/>
    <row r="287" customFormat="false" ht="14.25" hidden="false" customHeight="true" outlineLevel="0" collapsed="false"/>
    <row r="288" customFormat="false" ht="14.25" hidden="false" customHeight="true" outlineLevel="0" collapsed="false"/>
    <row r="289" customFormat="false" ht="14.25" hidden="false" customHeight="true" outlineLevel="0" collapsed="false"/>
    <row r="290" customFormat="false" ht="14.25" hidden="false" customHeight="true" outlineLevel="0" collapsed="false"/>
    <row r="291" customFormat="false" ht="14.25" hidden="false" customHeight="true" outlineLevel="0" collapsed="false"/>
    <row r="292" customFormat="false" ht="14.25" hidden="false" customHeight="true" outlineLevel="0" collapsed="false"/>
    <row r="293" customFormat="false" ht="14.25" hidden="false" customHeight="true" outlineLevel="0" collapsed="false"/>
    <row r="294" customFormat="false" ht="14.25" hidden="false" customHeight="true" outlineLevel="0" collapsed="false"/>
    <row r="295" customFormat="false" ht="14.25" hidden="false" customHeight="true" outlineLevel="0" collapsed="false"/>
    <row r="296" customFormat="false" ht="14.25" hidden="false" customHeight="true" outlineLevel="0" collapsed="false"/>
    <row r="297" customFormat="false" ht="14.25" hidden="false" customHeight="true" outlineLevel="0" collapsed="false"/>
    <row r="298" customFormat="false" ht="14.25" hidden="false" customHeight="true" outlineLevel="0" collapsed="false"/>
    <row r="299" customFormat="false" ht="14.25" hidden="false" customHeight="true" outlineLevel="0" collapsed="false"/>
    <row r="300" customFormat="false" ht="14.25" hidden="false" customHeight="true" outlineLevel="0" collapsed="false"/>
    <row r="301" customFormat="false" ht="14.25" hidden="false" customHeight="true" outlineLevel="0" collapsed="false"/>
    <row r="302" customFormat="false" ht="14.25" hidden="false" customHeight="true" outlineLevel="0" collapsed="false"/>
    <row r="303" customFormat="false" ht="14.25" hidden="false" customHeight="true" outlineLevel="0" collapsed="false"/>
    <row r="304" customFormat="false" ht="14.25" hidden="false" customHeight="true" outlineLevel="0" collapsed="false"/>
    <row r="305" customFormat="false" ht="14.25" hidden="false" customHeight="true" outlineLevel="0" collapsed="false"/>
    <row r="306" customFormat="false" ht="14.25" hidden="false" customHeight="true" outlineLevel="0" collapsed="false"/>
    <row r="307" customFormat="false" ht="14.25" hidden="false" customHeight="true" outlineLevel="0" collapsed="false"/>
    <row r="308" customFormat="false" ht="14.25" hidden="false" customHeight="true" outlineLevel="0" collapsed="false"/>
    <row r="309" customFormat="false" ht="14.25" hidden="false" customHeight="true" outlineLevel="0" collapsed="false"/>
    <row r="310" customFormat="false" ht="14.25" hidden="false" customHeight="true" outlineLevel="0" collapsed="false"/>
    <row r="311" customFormat="false" ht="14.25" hidden="false" customHeight="true" outlineLevel="0" collapsed="false"/>
    <row r="312" customFormat="false" ht="14.25" hidden="false" customHeight="true" outlineLevel="0" collapsed="false"/>
    <row r="313" customFormat="false" ht="14.25" hidden="false" customHeight="true" outlineLevel="0" collapsed="false"/>
    <row r="314" customFormat="false" ht="14.25" hidden="false" customHeight="true" outlineLevel="0" collapsed="false"/>
    <row r="315" customFormat="false" ht="14.25" hidden="false" customHeight="true" outlineLevel="0" collapsed="false"/>
    <row r="316" customFormat="false" ht="14.25" hidden="false" customHeight="true" outlineLevel="0" collapsed="false"/>
    <row r="317" customFormat="false" ht="14.25" hidden="false" customHeight="true" outlineLevel="0" collapsed="false"/>
    <row r="318" customFormat="false" ht="14.25" hidden="false" customHeight="true" outlineLevel="0" collapsed="false"/>
    <row r="319" customFormat="false" ht="14.25" hidden="false" customHeight="true" outlineLevel="0" collapsed="false"/>
    <row r="320" customFormat="false" ht="14.25" hidden="false" customHeight="true" outlineLevel="0" collapsed="false"/>
    <row r="321" customFormat="false" ht="14.25" hidden="false" customHeight="true" outlineLevel="0" collapsed="false"/>
    <row r="322" customFormat="false" ht="14.25" hidden="false" customHeight="true" outlineLevel="0" collapsed="false"/>
    <row r="323" customFormat="false" ht="14.25" hidden="false" customHeight="true" outlineLevel="0" collapsed="false"/>
    <row r="324" customFormat="false" ht="14.25" hidden="false" customHeight="true" outlineLevel="0" collapsed="false"/>
    <row r="325" customFormat="false" ht="14.25" hidden="false" customHeight="true" outlineLevel="0" collapsed="false"/>
    <row r="326" customFormat="false" ht="14.25" hidden="false" customHeight="true" outlineLevel="0" collapsed="false"/>
    <row r="327" customFormat="false" ht="14.25" hidden="false" customHeight="true" outlineLevel="0" collapsed="false"/>
    <row r="328" customFormat="false" ht="14.25" hidden="false" customHeight="true" outlineLevel="0" collapsed="false"/>
    <row r="329" customFormat="false" ht="14.25" hidden="false" customHeight="true" outlineLevel="0" collapsed="false"/>
    <row r="330" customFormat="false" ht="14.25" hidden="false" customHeight="true" outlineLevel="0" collapsed="false"/>
    <row r="331" customFormat="false" ht="14.25" hidden="false" customHeight="true" outlineLevel="0" collapsed="false"/>
    <row r="332" customFormat="false" ht="14.25" hidden="false" customHeight="true" outlineLevel="0" collapsed="false"/>
    <row r="333" customFormat="false" ht="14.25" hidden="false" customHeight="true" outlineLevel="0" collapsed="false"/>
    <row r="334" customFormat="false" ht="14.25" hidden="false" customHeight="true" outlineLevel="0" collapsed="false"/>
    <row r="335" customFormat="false" ht="14.25" hidden="false" customHeight="true" outlineLevel="0" collapsed="false"/>
    <row r="336" customFormat="false" ht="14.25" hidden="false" customHeight="true" outlineLevel="0" collapsed="false"/>
    <row r="337" customFormat="false" ht="14.25" hidden="false" customHeight="true" outlineLevel="0" collapsed="false"/>
    <row r="338" customFormat="false" ht="14.25" hidden="false" customHeight="true" outlineLevel="0" collapsed="false"/>
    <row r="339" customFormat="false" ht="14.25" hidden="false" customHeight="true" outlineLevel="0" collapsed="false"/>
    <row r="340" customFormat="false" ht="14.25" hidden="false" customHeight="true" outlineLevel="0" collapsed="false"/>
    <row r="341" customFormat="false" ht="14.25" hidden="false" customHeight="true" outlineLevel="0" collapsed="false"/>
    <row r="342" customFormat="false" ht="14.25" hidden="false" customHeight="true" outlineLevel="0" collapsed="false"/>
    <row r="343" customFormat="false" ht="14.25" hidden="false" customHeight="true" outlineLevel="0" collapsed="false"/>
    <row r="344" customFormat="false" ht="14.25" hidden="false" customHeight="true" outlineLevel="0" collapsed="false"/>
    <row r="345" customFormat="false" ht="14.25" hidden="false" customHeight="true" outlineLevel="0" collapsed="false"/>
    <row r="346" customFormat="false" ht="14.25" hidden="false" customHeight="true" outlineLevel="0" collapsed="false"/>
    <row r="347" customFormat="false" ht="14.25" hidden="false" customHeight="true" outlineLevel="0" collapsed="false"/>
    <row r="348" customFormat="false" ht="14.25" hidden="false" customHeight="true" outlineLevel="0" collapsed="false"/>
    <row r="349" customFormat="false" ht="14.25" hidden="false" customHeight="true" outlineLevel="0" collapsed="false"/>
    <row r="350" customFormat="false" ht="14.25" hidden="false" customHeight="true" outlineLevel="0" collapsed="false"/>
    <row r="351" customFormat="false" ht="14.25" hidden="false" customHeight="true" outlineLevel="0" collapsed="false"/>
    <row r="352" customFormat="false" ht="14.25" hidden="false" customHeight="true" outlineLevel="0" collapsed="false"/>
    <row r="353" customFormat="false" ht="14.25" hidden="false" customHeight="true" outlineLevel="0" collapsed="false"/>
    <row r="354" customFormat="false" ht="14.25" hidden="false" customHeight="true" outlineLevel="0" collapsed="false"/>
    <row r="355" customFormat="false" ht="14.25" hidden="false" customHeight="true" outlineLevel="0" collapsed="false"/>
    <row r="356" customFormat="false" ht="14.25" hidden="false" customHeight="true" outlineLevel="0" collapsed="false"/>
    <row r="357" customFormat="false" ht="14.25" hidden="false" customHeight="true" outlineLevel="0" collapsed="false"/>
    <row r="358" customFormat="false" ht="14.25" hidden="false" customHeight="true" outlineLevel="0" collapsed="false"/>
    <row r="359" customFormat="false" ht="14.25" hidden="false" customHeight="true" outlineLevel="0" collapsed="false"/>
    <row r="360" customFormat="false" ht="14.25" hidden="false" customHeight="true" outlineLevel="0" collapsed="false"/>
    <row r="361" customFormat="false" ht="14.25" hidden="false" customHeight="true" outlineLevel="0" collapsed="false"/>
    <row r="362" customFormat="false" ht="14.25" hidden="false" customHeight="true" outlineLevel="0" collapsed="false"/>
    <row r="363" customFormat="false" ht="14.25" hidden="false" customHeight="true" outlineLevel="0" collapsed="false"/>
    <row r="364" customFormat="false" ht="14.25" hidden="false" customHeight="true" outlineLevel="0" collapsed="false"/>
    <row r="365" customFormat="false" ht="14.25" hidden="false" customHeight="true" outlineLevel="0" collapsed="false"/>
    <row r="366" customFormat="false" ht="14.25" hidden="false" customHeight="true" outlineLevel="0" collapsed="false"/>
    <row r="367" customFormat="false" ht="14.25" hidden="false" customHeight="true" outlineLevel="0" collapsed="false"/>
    <row r="368" customFormat="false" ht="14.25" hidden="false" customHeight="true" outlineLevel="0" collapsed="false"/>
    <row r="369" customFormat="false" ht="14.25" hidden="false" customHeight="true" outlineLevel="0" collapsed="false"/>
    <row r="370" customFormat="false" ht="14.25" hidden="false" customHeight="true" outlineLevel="0" collapsed="false"/>
    <row r="371" customFormat="false" ht="14.25" hidden="false" customHeight="true" outlineLevel="0" collapsed="false"/>
    <row r="372" customFormat="false" ht="14.25" hidden="false" customHeight="true" outlineLevel="0" collapsed="false"/>
    <row r="373" customFormat="false" ht="14.25" hidden="false" customHeight="true" outlineLevel="0" collapsed="false"/>
    <row r="374" customFormat="false" ht="14.25" hidden="false" customHeight="true" outlineLevel="0" collapsed="false"/>
    <row r="375" customFormat="false" ht="14.25" hidden="false" customHeight="true" outlineLevel="0" collapsed="false"/>
    <row r="376" customFormat="false" ht="14.25" hidden="false" customHeight="true" outlineLevel="0" collapsed="false"/>
    <row r="377" customFormat="false" ht="14.25" hidden="false" customHeight="true" outlineLevel="0" collapsed="false"/>
    <row r="378" customFormat="false" ht="14.25" hidden="false" customHeight="true" outlineLevel="0" collapsed="false"/>
    <row r="379" customFormat="false" ht="14.25" hidden="false" customHeight="true" outlineLevel="0" collapsed="false"/>
    <row r="380" customFormat="false" ht="14.25" hidden="false" customHeight="true" outlineLevel="0" collapsed="false"/>
    <row r="381" customFormat="false" ht="14.25" hidden="false" customHeight="true" outlineLevel="0" collapsed="false"/>
    <row r="382" customFormat="false" ht="14.25" hidden="false" customHeight="true" outlineLevel="0" collapsed="false"/>
    <row r="383" customFormat="false" ht="14.25" hidden="false" customHeight="true" outlineLevel="0" collapsed="false"/>
    <row r="384" customFormat="false" ht="14.25" hidden="false" customHeight="true" outlineLevel="0" collapsed="false"/>
    <row r="385" customFormat="false" ht="14.25" hidden="false" customHeight="true" outlineLevel="0" collapsed="false"/>
    <row r="386" customFormat="false" ht="14.25" hidden="false" customHeight="true" outlineLevel="0" collapsed="false"/>
    <row r="387" customFormat="false" ht="14.25" hidden="false" customHeight="true" outlineLevel="0" collapsed="false"/>
    <row r="388" customFormat="false" ht="14.25" hidden="false" customHeight="true" outlineLevel="0" collapsed="false"/>
    <row r="389" customFormat="false" ht="14.25" hidden="false" customHeight="true" outlineLevel="0" collapsed="false"/>
    <row r="390" customFormat="false" ht="14.25" hidden="false" customHeight="true" outlineLevel="0" collapsed="false"/>
    <row r="391" customFormat="false" ht="14.25" hidden="false" customHeight="true" outlineLevel="0" collapsed="false"/>
    <row r="392" customFormat="false" ht="14.25" hidden="false" customHeight="true" outlineLevel="0" collapsed="false"/>
    <row r="393" customFormat="false" ht="14.25" hidden="false" customHeight="true" outlineLevel="0" collapsed="false"/>
    <row r="394" customFormat="false" ht="14.25" hidden="false" customHeight="true" outlineLevel="0" collapsed="false"/>
    <row r="395" customFormat="false" ht="14.25" hidden="false" customHeight="true" outlineLevel="0" collapsed="false"/>
    <row r="396" customFormat="false" ht="14.25" hidden="false" customHeight="true" outlineLevel="0" collapsed="false"/>
    <row r="397" customFormat="false" ht="14.25" hidden="false" customHeight="true" outlineLevel="0" collapsed="false"/>
    <row r="398" customFormat="false" ht="14.25" hidden="false" customHeight="true" outlineLevel="0" collapsed="false"/>
    <row r="399" customFormat="false" ht="14.25" hidden="false" customHeight="true" outlineLevel="0" collapsed="false"/>
    <row r="400" customFormat="false" ht="14.25" hidden="false" customHeight="true" outlineLevel="0" collapsed="false"/>
    <row r="401" customFormat="false" ht="14.25" hidden="false" customHeight="true" outlineLevel="0" collapsed="false"/>
    <row r="402" customFormat="false" ht="14.25" hidden="false" customHeight="true" outlineLevel="0" collapsed="false"/>
    <row r="403" customFormat="false" ht="14.25" hidden="false" customHeight="true" outlineLevel="0" collapsed="false"/>
    <row r="404" customFormat="false" ht="14.25" hidden="false" customHeight="true" outlineLevel="0" collapsed="false"/>
    <row r="405" customFormat="false" ht="14.25" hidden="false" customHeight="true" outlineLevel="0" collapsed="false"/>
    <row r="406" customFormat="false" ht="14.25" hidden="false" customHeight="true" outlineLevel="0" collapsed="false"/>
    <row r="407" customFormat="false" ht="14.25" hidden="false" customHeight="true" outlineLevel="0" collapsed="false"/>
    <row r="408" customFormat="false" ht="14.25" hidden="false" customHeight="true" outlineLevel="0" collapsed="false"/>
    <row r="409" customFormat="false" ht="14.25" hidden="false" customHeight="true" outlineLevel="0" collapsed="false"/>
    <row r="410" customFormat="false" ht="14.25" hidden="false" customHeight="true" outlineLevel="0" collapsed="false"/>
    <row r="411" customFormat="false" ht="14.25" hidden="false" customHeight="true" outlineLevel="0" collapsed="false"/>
    <row r="412" customFormat="false" ht="14.25" hidden="false" customHeight="true" outlineLevel="0" collapsed="false"/>
    <row r="413" customFormat="false" ht="14.25" hidden="false" customHeight="true" outlineLevel="0" collapsed="false"/>
    <row r="414" customFormat="false" ht="14.25" hidden="false" customHeight="true" outlineLevel="0" collapsed="false"/>
    <row r="415" customFormat="false" ht="14.25" hidden="false" customHeight="true" outlineLevel="0" collapsed="false"/>
    <row r="416" customFormat="false" ht="14.25" hidden="false" customHeight="true" outlineLevel="0" collapsed="false"/>
    <row r="417" customFormat="false" ht="14.25" hidden="false" customHeight="true" outlineLevel="0" collapsed="false"/>
    <row r="418" customFormat="false" ht="14.25" hidden="false" customHeight="true" outlineLevel="0" collapsed="false"/>
    <row r="419" customFormat="false" ht="14.25" hidden="false" customHeight="true" outlineLevel="0" collapsed="false"/>
    <row r="420" customFormat="false" ht="14.25" hidden="false" customHeight="true" outlineLevel="0" collapsed="false"/>
    <row r="421" customFormat="false" ht="14.25" hidden="false" customHeight="true" outlineLevel="0" collapsed="false"/>
    <row r="422" customFormat="false" ht="14.25" hidden="false" customHeight="true" outlineLevel="0" collapsed="false"/>
    <row r="423" customFormat="false" ht="14.25" hidden="false" customHeight="true" outlineLevel="0" collapsed="false"/>
    <row r="424" customFormat="false" ht="14.25" hidden="false" customHeight="true" outlineLevel="0" collapsed="false"/>
    <row r="425" customFormat="false" ht="14.25" hidden="false" customHeight="true" outlineLevel="0" collapsed="false"/>
    <row r="426" customFormat="false" ht="14.25" hidden="false" customHeight="true" outlineLevel="0" collapsed="false"/>
    <row r="427" customFormat="false" ht="14.25" hidden="false" customHeight="true" outlineLevel="0" collapsed="false"/>
    <row r="428" customFormat="false" ht="14.25" hidden="false" customHeight="true" outlineLevel="0" collapsed="false"/>
    <row r="429" customFormat="false" ht="14.25" hidden="false" customHeight="true" outlineLevel="0" collapsed="false"/>
    <row r="430" customFormat="false" ht="14.25" hidden="false" customHeight="true" outlineLevel="0" collapsed="false"/>
    <row r="431" customFormat="false" ht="14.25" hidden="false" customHeight="true" outlineLevel="0" collapsed="false"/>
    <row r="432" customFormat="false" ht="14.25" hidden="false" customHeight="true" outlineLevel="0" collapsed="false"/>
    <row r="433" customFormat="false" ht="14.25" hidden="false" customHeight="true" outlineLevel="0" collapsed="false"/>
    <row r="434" customFormat="false" ht="14.25" hidden="false" customHeight="true" outlineLevel="0" collapsed="false"/>
    <row r="435" customFormat="false" ht="14.25" hidden="false" customHeight="true" outlineLevel="0" collapsed="false"/>
    <row r="436" customFormat="false" ht="14.25" hidden="false" customHeight="true" outlineLevel="0" collapsed="false"/>
    <row r="437" customFormat="false" ht="14.25" hidden="false" customHeight="true" outlineLevel="0" collapsed="false"/>
    <row r="438" customFormat="false" ht="14.25" hidden="false" customHeight="true" outlineLevel="0" collapsed="false"/>
    <row r="439" customFormat="false" ht="14.25" hidden="false" customHeight="true" outlineLevel="0" collapsed="false"/>
    <row r="440" customFormat="false" ht="14.25" hidden="false" customHeight="true" outlineLevel="0" collapsed="false"/>
    <row r="441" customFormat="false" ht="14.25" hidden="false" customHeight="true" outlineLevel="0" collapsed="false"/>
    <row r="442" customFormat="false" ht="14.25" hidden="false" customHeight="true" outlineLevel="0" collapsed="false"/>
    <row r="443" customFormat="false" ht="14.25" hidden="false" customHeight="true" outlineLevel="0" collapsed="false"/>
    <row r="444" customFormat="false" ht="14.25" hidden="false" customHeight="true" outlineLevel="0" collapsed="false"/>
    <row r="445" customFormat="false" ht="14.25" hidden="false" customHeight="true" outlineLevel="0" collapsed="false"/>
    <row r="446" customFormat="false" ht="14.25" hidden="false" customHeight="true" outlineLevel="0" collapsed="false"/>
    <row r="447" customFormat="false" ht="14.25" hidden="false" customHeight="true" outlineLevel="0" collapsed="false"/>
    <row r="448" customFormat="false" ht="14.25" hidden="false" customHeight="true" outlineLevel="0" collapsed="false"/>
    <row r="449" customFormat="false" ht="14.25" hidden="false" customHeight="true" outlineLevel="0" collapsed="false"/>
    <row r="450" customFormat="false" ht="14.25" hidden="false" customHeight="true" outlineLevel="0" collapsed="false"/>
    <row r="451" customFormat="false" ht="14.25" hidden="false" customHeight="true" outlineLevel="0" collapsed="false"/>
    <row r="452" customFormat="false" ht="14.25" hidden="false" customHeight="true" outlineLevel="0" collapsed="false"/>
    <row r="453" customFormat="false" ht="14.25" hidden="false" customHeight="true" outlineLevel="0" collapsed="false"/>
    <row r="454" customFormat="false" ht="14.25" hidden="false" customHeight="true" outlineLevel="0" collapsed="false"/>
    <row r="455" customFormat="false" ht="14.25" hidden="false" customHeight="true" outlineLevel="0" collapsed="false"/>
    <row r="456" customFormat="false" ht="14.25" hidden="false" customHeight="true" outlineLevel="0" collapsed="false"/>
    <row r="457" customFormat="false" ht="14.25" hidden="false" customHeight="true" outlineLevel="0" collapsed="false"/>
    <row r="458" customFormat="false" ht="14.25" hidden="false" customHeight="true" outlineLevel="0" collapsed="false"/>
    <row r="459" customFormat="false" ht="14.25" hidden="false" customHeight="true" outlineLevel="0" collapsed="false"/>
    <row r="460" customFormat="false" ht="14.25" hidden="false" customHeight="true" outlineLevel="0" collapsed="false"/>
    <row r="461" customFormat="false" ht="14.25" hidden="false" customHeight="true" outlineLevel="0" collapsed="false"/>
    <row r="462" customFormat="false" ht="14.25" hidden="false" customHeight="true" outlineLevel="0" collapsed="false"/>
    <row r="463" customFormat="false" ht="14.25" hidden="false" customHeight="true" outlineLevel="0" collapsed="false"/>
    <row r="464" customFormat="false" ht="14.25" hidden="false" customHeight="true" outlineLevel="0" collapsed="false"/>
    <row r="465" customFormat="false" ht="14.25" hidden="false" customHeight="true" outlineLevel="0" collapsed="false"/>
    <row r="466" customFormat="false" ht="14.25" hidden="false" customHeight="true" outlineLevel="0" collapsed="false"/>
    <row r="467" customFormat="false" ht="14.25" hidden="false" customHeight="true" outlineLevel="0" collapsed="false"/>
    <row r="468" customFormat="false" ht="14.25" hidden="false" customHeight="true" outlineLevel="0" collapsed="false"/>
    <row r="469" customFormat="false" ht="14.25" hidden="false" customHeight="true" outlineLevel="0" collapsed="false"/>
    <row r="470" customFormat="false" ht="14.25" hidden="false" customHeight="true" outlineLevel="0" collapsed="false"/>
    <row r="471" customFormat="false" ht="14.25" hidden="false" customHeight="true" outlineLevel="0" collapsed="false"/>
    <row r="472" customFormat="false" ht="14.25" hidden="false" customHeight="true" outlineLevel="0" collapsed="false"/>
    <row r="473" customFormat="false" ht="14.25" hidden="false" customHeight="true" outlineLevel="0" collapsed="false"/>
    <row r="474" customFormat="false" ht="14.25" hidden="false" customHeight="true" outlineLevel="0" collapsed="false"/>
    <row r="475" customFormat="false" ht="14.25" hidden="false" customHeight="true" outlineLevel="0" collapsed="false"/>
    <row r="476" customFormat="false" ht="14.25" hidden="false" customHeight="true" outlineLevel="0" collapsed="false"/>
    <row r="477" customFormat="false" ht="14.25" hidden="false" customHeight="true" outlineLevel="0" collapsed="false"/>
    <row r="478" customFormat="false" ht="14.25" hidden="false" customHeight="true" outlineLevel="0" collapsed="false"/>
    <row r="479" customFormat="false" ht="14.25" hidden="false" customHeight="true" outlineLevel="0" collapsed="false"/>
    <row r="480" customFormat="false" ht="14.25" hidden="false" customHeight="true" outlineLevel="0" collapsed="false"/>
    <row r="481" customFormat="false" ht="14.25" hidden="false" customHeight="true" outlineLevel="0" collapsed="false"/>
    <row r="482" customFormat="false" ht="14.25" hidden="false" customHeight="true" outlineLevel="0" collapsed="false"/>
    <row r="483" customFormat="false" ht="14.25" hidden="false" customHeight="true" outlineLevel="0" collapsed="false"/>
    <row r="484" customFormat="false" ht="14.25" hidden="false" customHeight="true" outlineLevel="0" collapsed="false"/>
    <row r="485" customFormat="false" ht="14.25" hidden="false" customHeight="true" outlineLevel="0" collapsed="false"/>
    <row r="486" customFormat="false" ht="14.25" hidden="false" customHeight="true" outlineLevel="0" collapsed="false"/>
    <row r="487" customFormat="false" ht="14.25" hidden="false" customHeight="true" outlineLevel="0" collapsed="false"/>
    <row r="488" customFormat="false" ht="14.25" hidden="false" customHeight="true" outlineLevel="0" collapsed="false"/>
    <row r="489" customFormat="false" ht="14.25" hidden="false" customHeight="true" outlineLevel="0" collapsed="false"/>
    <row r="490" customFormat="false" ht="14.25" hidden="false" customHeight="true" outlineLevel="0" collapsed="false"/>
    <row r="491" customFormat="false" ht="14.25" hidden="false" customHeight="true" outlineLevel="0" collapsed="false"/>
    <row r="492" customFormat="false" ht="14.25" hidden="false" customHeight="true" outlineLevel="0" collapsed="false"/>
    <row r="493" customFormat="false" ht="14.25" hidden="false" customHeight="true" outlineLevel="0" collapsed="false"/>
    <row r="494" customFormat="false" ht="14.25" hidden="false" customHeight="true" outlineLevel="0" collapsed="false"/>
    <row r="495" customFormat="false" ht="14.25" hidden="false" customHeight="true" outlineLevel="0" collapsed="false"/>
    <row r="496" customFormat="false" ht="14.25" hidden="false" customHeight="true" outlineLevel="0" collapsed="false"/>
    <row r="497" customFormat="false" ht="14.25" hidden="false" customHeight="true" outlineLevel="0" collapsed="false"/>
    <row r="498" customFormat="false" ht="14.25" hidden="false" customHeight="true" outlineLevel="0" collapsed="false"/>
    <row r="499" customFormat="false" ht="14.25" hidden="false" customHeight="true" outlineLevel="0" collapsed="false"/>
    <row r="500" customFormat="false" ht="14.25" hidden="false" customHeight="true" outlineLevel="0" collapsed="false"/>
    <row r="501" customFormat="false" ht="14.25" hidden="false" customHeight="true" outlineLevel="0" collapsed="false"/>
    <row r="502" customFormat="false" ht="14.25" hidden="false" customHeight="true" outlineLevel="0" collapsed="false"/>
    <row r="503" customFormat="false" ht="14.25" hidden="false" customHeight="true" outlineLevel="0" collapsed="false"/>
    <row r="504" customFormat="false" ht="14.25" hidden="false" customHeight="true" outlineLevel="0" collapsed="false"/>
    <row r="505" customFormat="false" ht="14.25" hidden="false" customHeight="true" outlineLevel="0" collapsed="false"/>
    <row r="506" customFormat="false" ht="14.25" hidden="false" customHeight="true" outlineLevel="0" collapsed="false"/>
    <row r="507" customFormat="false" ht="14.25" hidden="false" customHeight="true" outlineLevel="0" collapsed="false"/>
    <row r="508" customFormat="false" ht="14.25" hidden="false" customHeight="true" outlineLevel="0" collapsed="false"/>
    <row r="509" customFormat="false" ht="14.25" hidden="false" customHeight="true" outlineLevel="0" collapsed="false"/>
    <row r="510" customFormat="false" ht="14.25" hidden="false" customHeight="true" outlineLevel="0" collapsed="false"/>
    <row r="511" customFormat="false" ht="14.25" hidden="false" customHeight="true" outlineLevel="0" collapsed="false"/>
    <row r="512" customFormat="false" ht="14.25" hidden="false" customHeight="true" outlineLevel="0" collapsed="false"/>
    <row r="513" customFormat="false" ht="14.25" hidden="false" customHeight="true" outlineLevel="0" collapsed="false"/>
    <row r="514" customFormat="false" ht="14.25" hidden="false" customHeight="true" outlineLevel="0" collapsed="false"/>
    <row r="515" customFormat="false" ht="14.25" hidden="false" customHeight="true" outlineLevel="0" collapsed="false"/>
    <row r="516" customFormat="false" ht="14.25" hidden="false" customHeight="true" outlineLevel="0" collapsed="false"/>
    <row r="517" customFormat="false" ht="14.25" hidden="false" customHeight="true" outlineLevel="0" collapsed="false"/>
    <row r="518" customFormat="false" ht="14.25" hidden="false" customHeight="true" outlineLevel="0" collapsed="false"/>
    <row r="519" customFormat="false" ht="14.25" hidden="false" customHeight="true" outlineLevel="0" collapsed="false"/>
    <row r="520" customFormat="false" ht="14.25" hidden="false" customHeight="true" outlineLevel="0" collapsed="false"/>
    <row r="521" customFormat="false" ht="14.25" hidden="false" customHeight="true" outlineLevel="0" collapsed="false"/>
    <row r="522" customFormat="false" ht="14.25" hidden="false" customHeight="true" outlineLevel="0" collapsed="false"/>
    <row r="523" customFormat="false" ht="14.25" hidden="false" customHeight="true" outlineLevel="0" collapsed="false"/>
    <row r="524" customFormat="false" ht="14.25" hidden="false" customHeight="true" outlineLevel="0" collapsed="false"/>
    <row r="525" customFormat="false" ht="14.25" hidden="false" customHeight="true" outlineLevel="0" collapsed="false"/>
    <row r="526" customFormat="false" ht="14.25" hidden="false" customHeight="true" outlineLevel="0" collapsed="false"/>
    <row r="527" customFormat="false" ht="14.25" hidden="false" customHeight="true" outlineLevel="0" collapsed="false"/>
    <row r="528" customFormat="false" ht="14.25" hidden="false" customHeight="true" outlineLevel="0" collapsed="false"/>
    <row r="529" customFormat="false" ht="14.25" hidden="false" customHeight="true" outlineLevel="0" collapsed="false"/>
    <row r="530" customFormat="false" ht="14.25" hidden="false" customHeight="true" outlineLevel="0" collapsed="false"/>
    <row r="531" customFormat="false" ht="14.25" hidden="false" customHeight="true" outlineLevel="0" collapsed="false"/>
    <row r="532" customFormat="false" ht="14.25" hidden="false" customHeight="true" outlineLevel="0" collapsed="false"/>
    <row r="533" customFormat="false" ht="14.25" hidden="false" customHeight="true" outlineLevel="0" collapsed="false"/>
    <row r="534" customFormat="false" ht="14.25" hidden="false" customHeight="true" outlineLevel="0" collapsed="false"/>
    <row r="535" customFormat="false" ht="14.25" hidden="false" customHeight="true" outlineLevel="0" collapsed="false"/>
    <row r="536" customFormat="false" ht="14.25" hidden="false" customHeight="true" outlineLevel="0" collapsed="false"/>
    <row r="537" customFormat="false" ht="14.25" hidden="false" customHeight="true" outlineLevel="0" collapsed="false"/>
    <row r="538" customFormat="false" ht="14.25" hidden="false" customHeight="true" outlineLevel="0" collapsed="false"/>
    <row r="539" customFormat="false" ht="14.25" hidden="false" customHeight="true" outlineLevel="0" collapsed="false"/>
    <row r="540" customFormat="false" ht="14.25" hidden="false" customHeight="true" outlineLevel="0" collapsed="false"/>
    <row r="541" customFormat="false" ht="14.25" hidden="false" customHeight="true" outlineLevel="0" collapsed="false"/>
    <row r="542" customFormat="false" ht="14.25" hidden="false" customHeight="true" outlineLevel="0" collapsed="false"/>
    <row r="543" customFormat="false" ht="14.25" hidden="false" customHeight="true" outlineLevel="0" collapsed="false"/>
    <row r="544" customFormat="false" ht="14.25" hidden="false" customHeight="true" outlineLevel="0" collapsed="false"/>
    <row r="545" customFormat="false" ht="14.25" hidden="false" customHeight="true" outlineLevel="0" collapsed="false"/>
    <row r="546" customFormat="false" ht="14.25" hidden="false" customHeight="true" outlineLevel="0" collapsed="false"/>
    <row r="547" customFormat="false" ht="14.25" hidden="false" customHeight="true" outlineLevel="0" collapsed="false"/>
    <row r="548" customFormat="false" ht="14.25" hidden="false" customHeight="true" outlineLevel="0" collapsed="false"/>
    <row r="549" customFormat="false" ht="14.25" hidden="false" customHeight="true" outlineLevel="0" collapsed="false"/>
    <row r="550" customFormat="false" ht="14.25" hidden="false" customHeight="true" outlineLevel="0" collapsed="false"/>
    <row r="551" customFormat="false" ht="14.25" hidden="false" customHeight="true" outlineLevel="0" collapsed="false"/>
    <row r="552" customFormat="false" ht="14.25" hidden="false" customHeight="true" outlineLevel="0" collapsed="false"/>
    <row r="553" customFormat="false" ht="14.25" hidden="false" customHeight="true" outlineLevel="0" collapsed="false"/>
    <row r="554" customFormat="false" ht="14.25" hidden="false" customHeight="true" outlineLevel="0" collapsed="false"/>
    <row r="555" customFormat="false" ht="14.25" hidden="false" customHeight="true" outlineLevel="0" collapsed="false"/>
    <row r="556" customFormat="false" ht="14.25" hidden="false" customHeight="true" outlineLevel="0" collapsed="false"/>
    <row r="557" customFormat="false" ht="14.25" hidden="false" customHeight="true" outlineLevel="0" collapsed="false"/>
    <row r="558" customFormat="false" ht="14.25" hidden="false" customHeight="true" outlineLevel="0" collapsed="false"/>
    <row r="559" customFormat="false" ht="14.25" hidden="false" customHeight="true" outlineLevel="0" collapsed="false"/>
    <row r="560" customFormat="false" ht="14.25" hidden="false" customHeight="true" outlineLevel="0" collapsed="false"/>
    <row r="561" customFormat="false" ht="14.25" hidden="false" customHeight="true" outlineLevel="0" collapsed="false"/>
    <row r="562" customFormat="false" ht="14.25" hidden="false" customHeight="true" outlineLevel="0" collapsed="false"/>
    <row r="563" customFormat="false" ht="14.25" hidden="false" customHeight="true" outlineLevel="0" collapsed="false"/>
    <row r="564" customFormat="false" ht="14.25" hidden="false" customHeight="true" outlineLevel="0" collapsed="false"/>
    <row r="565" customFormat="false" ht="14.25" hidden="false" customHeight="true" outlineLevel="0" collapsed="false"/>
    <row r="566" customFormat="false" ht="14.25" hidden="false" customHeight="true" outlineLevel="0" collapsed="false"/>
    <row r="567" customFormat="false" ht="14.25" hidden="false" customHeight="true" outlineLevel="0" collapsed="false"/>
    <row r="568" customFormat="false" ht="14.25" hidden="false" customHeight="true" outlineLevel="0" collapsed="false"/>
    <row r="569" customFormat="false" ht="14.25" hidden="false" customHeight="true" outlineLevel="0" collapsed="false"/>
    <row r="570" customFormat="false" ht="14.25" hidden="false" customHeight="true" outlineLevel="0" collapsed="false"/>
    <row r="571" customFormat="false" ht="14.25" hidden="false" customHeight="true" outlineLevel="0" collapsed="false"/>
    <row r="572" customFormat="false" ht="14.25" hidden="false" customHeight="true" outlineLevel="0" collapsed="false"/>
    <row r="573" customFormat="false" ht="14.25" hidden="false" customHeight="true" outlineLevel="0" collapsed="false"/>
    <row r="574" customFormat="false" ht="14.25" hidden="false" customHeight="true" outlineLevel="0" collapsed="false"/>
    <row r="575" customFormat="false" ht="14.25" hidden="false" customHeight="true" outlineLevel="0" collapsed="false"/>
    <row r="576" customFormat="false" ht="14.25" hidden="false" customHeight="true" outlineLevel="0" collapsed="false"/>
    <row r="577" customFormat="false" ht="14.25" hidden="false" customHeight="true" outlineLevel="0" collapsed="false"/>
    <row r="578" customFormat="false" ht="14.25" hidden="false" customHeight="true" outlineLevel="0" collapsed="false"/>
    <row r="579" customFormat="false" ht="14.25" hidden="false" customHeight="true" outlineLevel="0" collapsed="false"/>
    <row r="580" customFormat="false" ht="14.25" hidden="false" customHeight="true" outlineLevel="0" collapsed="false"/>
    <row r="581" customFormat="false" ht="14.25" hidden="false" customHeight="true" outlineLevel="0" collapsed="false"/>
    <row r="582" customFormat="false" ht="14.25" hidden="false" customHeight="true" outlineLevel="0" collapsed="false"/>
    <row r="583" customFormat="false" ht="14.25" hidden="false" customHeight="true" outlineLevel="0" collapsed="false"/>
    <row r="584" customFormat="false" ht="14.25" hidden="false" customHeight="true" outlineLevel="0" collapsed="false"/>
    <row r="585" customFormat="false" ht="14.25" hidden="false" customHeight="true" outlineLevel="0" collapsed="false"/>
    <row r="586" customFormat="false" ht="14.25" hidden="false" customHeight="true" outlineLevel="0" collapsed="false"/>
    <row r="587" customFormat="false" ht="14.25" hidden="false" customHeight="true" outlineLevel="0" collapsed="false"/>
    <row r="588" customFormat="false" ht="14.25" hidden="false" customHeight="true" outlineLevel="0" collapsed="false"/>
    <row r="589" customFormat="false" ht="14.25" hidden="false" customHeight="true" outlineLevel="0" collapsed="false"/>
    <row r="590" customFormat="false" ht="14.25" hidden="false" customHeight="true" outlineLevel="0" collapsed="false"/>
    <row r="591" customFormat="false" ht="14.25" hidden="false" customHeight="true" outlineLevel="0" collapsed="false"/>
    <row r="592" customFormat="false" ht="14.25" hidden="false" customHeight="true" outlineLevel="0" collapsed="false"/>
    <row r="593" customFormat="false" ht="14.25" hidden="false" customHeight="true" outlineLevel="0" collapsed="false"/>
    <row r="594" customFormat="false" ht="14.25" hidden="false" customHeight="true" outlineLevel="0" collapsed="false"/>
    <row r="595" customFormat="false" ht="14.25" hidden="false" customHeight="true" outlineLevel="0" collapsed="false"/>
    <row r="596" customFormat="false" ht="14.25" hidden="false" customHeight="true" outlineLevel="0" collapsed="false"/>
    <row r="597" customFormat="false" ht="14.25" hidden="false" customHeight="true" outlineLevel="0" collapsed="false"/>
    <row r="598" customFormat="false" ht="14.25" hidden="false" customHeight="true" outlineLevel="0" collapsed="false"/>
    <row r="599" customFormat="false" ht="14.25" hidden="false" customHeight="true" outlineLevel="0" collapsed="false"/>
    <row r="600" customFormat="false" ht="14.25" hidden="false" customHeight="true" outlineLevel="0" collapsed="false"/>
    <row r="601" customFormat="false" ht="14.25" hidden="false" customHeight="true" outlineLevel="0" collapsed="false"/>
    <row r="602" customFormat="false" ht="14.25" hidden="false" customHeight="true" outlineLevel="0" collapsed="false"/>
    <row r="603" customFormat="false" ht="14.25" hidden="false" customHeight="true" outlineLevel="0" collapsed="false"/>
    <row r="604" customFormat="false" ht="14.25" hidden="false" customHeight="true" outlineLevel="0" collapsed="false"/>
    <row r="605" customFormat="false" ht="14.25" hidden="false" customHeight="true" outlineLevel="0" collapsed="false"/>
    <row r="606" customFormat="false" ht="14.25" hidden="false" customHeight="true" outlineLevel="0" collapsed="false"/>
    <row r="607" customFormat="false" ht="14.25" hidden="false" customHeight="true" outlineLevel="0" collapsed="false"/>
    <row r="608" customFormat="false" ht="14.25" hidden="false" customHeight="true" outlineLevel="0" collapsed="false"/>
    <row r="609" customFormat="false" ht="14.25" hidden="false" customHeight="true" outlineLevel="0" collapsed="false"/>
    <row r="610" customFormat="false" ht="14.25" hidden="false" customHeight="true" outlineLevel="0" collapsed="false"/>
    <row r="611" customFormat="false" ht="14.25" hidden="false" customHeight="true" outlineLevel="0" collapsed="false"/>
    <row r="612" customFormat="false" ht="14.25" hidden="false" customHeight="true" outlineLevel="0" collapsed="false"/>
    <row r="613" customFormat="false" ht="14.25" hidden="false" customHeight="true" outlineLevel="0" collapsed="false"/>
    <row r="614" customFormat="false" ht="14.25" hidden="false" customHeight="true" outlineLevel="0" collapsed="false"/>
    <row r="615" customFormat="false" ht="14.25" hidden="false" customHeight="true" outlineLevel="0" collapsed="false"/>
    <row r="616" customFormat="false" ht="14.25" hidden="false" customHeight="true" outlineLevel="0" collapsed="false"/>
    <row r="617" customFormat="false" ht="14.25" hidden="false" customHeight="true" outlineLevel="0" collapsed="false"/>
    <row r="618" customFormat="false" ht="14.25" hidden="false" customHeight="true" outlineLevel="0" collapsed="false"/>
    <row r="619" customFormat="false" ht="14.25" hidden="false" customHeight="true" outlineLevel="0" collapsed="false"/>
    <row r="620" customFormat="false" ht="14.25" hidden="false" customHeight="true" outlineLevel="0" collapsed="false"/>
    <row r="621" customFormat="false" ht="14.25" hidden="false" customHeight="true" outlineLevel="0" collapsed="false"/>
    <row r="622" customFormat="false" ht="14.25" hidden="false" customHeight="true" outlineLevel="0" collapsed="false"/>
    <row r="623" customFormat="false" ht="14.25" hidden="false" customHeight="true" outlineLevel="0" collapsed="false"/>
    <row r="624" customFormat="false" ht="14.25" hidden="false" customHeight="true" outlineLevel="0" collapsed="false"/>
    <row r="625" customFormat="false" ht="14.25" hidden="false" customHeight="true" outlineLevel="0" collapsed="false"/>
    <row r="626" customFormat="false" ht="14.25" hidden="false" customHeight="true" outlineLevel="0" collapsed="false"/>
    <row r="627" customFormat="false" ht="14.25" hidden="false" customHeight="true" outlineLevel="0" collapsed="false"/>
    <row r="628" customFormat="false" ht="14.25" hidden="false" customHeight="true" outlineLevel="0" collapsed="false"/>
    <row r="629" customFormat="false" ht="14.25" hidden="false" customHeight="true" outlineLevel="0" collapsed="false"/>
    <row r="630" customFormat="false" ht="14.25" hidden="false" customHeight="true" outlineLevel="0" collapsed="false"/>
    <row r="631" customFormat="false" ht="14.25" hidden="false" customHeight="true" outlineLevel="0" collapsed="false"/>
    <row r="632" customFormat="false" ht="14.25" hidden="false" customHeight="true" outlineLevel="0" collapsed="false"/>
    <row r="633" customFormat="false" ht="14.25" hidden="false" customHeight="true" outlineLevel="0" collapsed="false"/>
    <row r="634" customFormat="false" ht="14.25" hidden="false" customHeight="true" outlineLevel="0" collapsed="false"/>
    <row r="635" customFormat="false" ht="14.25" hidden="false" customHeight="true" outlineLevel="0" collapsed="false"/>
    <row r="636" customFormat="false" ht="14.25" hidden="false" customHeight="true" outlineLevel="0" collapsed="false"/>
    <row r="637" customFormat="false" ht="14.25" hidden="false" customHeight="true" outlineLevel="0" collapsed="false"/>
    <row r="638" customFormat="false" ht="14.25" hidden="false" customHeight="true" outlineLevel="0" collapsed="false"/>
    <row r="639" customFormat="false" ht="14.25" hidden="false" customHeight="true" outlineLevel="0" collapsed="false"/>
    <row r="640" customFormat="false" ht="14.25" hidden="false" customHeight="true" outlineLevel="0" collapsed="false"/>
    <row r="641" customFormat="false" ht="14.25" hidden="false" customHeight="true" outlineLevel="0" collapsed="false"/>
    <row r="642" customFormat="false" ht="14.25" hidden="false" customHeight="true" outlineLevel="0" collapsed="false"/>
    <row r="643" customFormat="false" ht="14.25" hidden="false" customHeight="true" outlineLevel="0" collapsed="false"/>
    <row r="644" customFormat="false" ht="14.25" hidden="false" customHeight="true" outlineLevel="0" collapsed="false"/>
    <row r="645" customFormat="false" ht="14.25" hidden="false" customHeight="true" outlineLevel="0" collapsed="false"/>
    <row r="646" customFormat="false" ht="14.25" hidden="false" customHeight="true" outlineLevel="0" collapsed="false"/>
    <row r="647" customFormat="false" ht="14.25" hidden="false" customHeight="true" outlineLevel="0" collapsed="false"/>
    <row r="648" customFormat="false" ht="14.25" hidden="false" customHeight="true" outlineLevel="0" collapsed="false"/>
    <row r="649" customFormat="false" ht="14.25" hidden="false" customHeight="true" outlineLevel="0" collapsed="false"/>
    <row r="650" customFormat="false" ht="14.25" hidden="false" customHeight="true" outlineLevel="0" collapsed="false"/>
    <row r="651" customFormat="false" ht="14.25" hidden="false" customHeight="true" outlineLevel="0" collapsed="false"/>
    <row r="652" customFormat="false" ht="14.25" hidden="false" customHeight="true" outlineLevel="0" collapsed="false"/>
    <row r="653" customFormat="false" ht="14.25" hidden="false" customHeight="true" outlineLevel="0" collapsed="false"/>
    <row r="654" customFormat="false" ht="14.25" hidden="false" customHeight="true" outlineLevel="0" collapsed="false"/>
    <row r="655" customFormat="false" ht="14.25" hidden="false" customHeight="true" outlineLevel="0" collapsed="false"/>
    <row r="656" customFormat="false" ht="14.25" hidden="false" customHeight="true" outlineLevel="0" collapsed="false"/>
    <row r="657" customFormat="false" ht="14.25" hidden="false" customHeight="true" outlineLevel="0" collapsed="false"/>
    <row r="658" customFormat="false" ht="14.25" hidden="false" customHeight="true" outlineLevel="0" collapsed="false"/>
    <row r="659" customFormat="false" ht="14.25" hidden="false" customHeight="true" outlineLevel="0" collapsed="false"/>
    <row r="660" customFormat="false" ht="14.25" hidden="false" customHeight="true" outlineLevel="0" collapsed="false"/>
    <row r="661" customFormat="false" ht="14.25" hidden="false" customHeight="true" outlineLevel="0" collapsed="false"/>
    <row r="662" customFormat="false" ht="14.25" hidden="false" customHeight="true" outlineLevel="0" collapsed="false"/>
    <row r="663" customFormat="false" ht="14.25" hidden="false" customHeight="true" outlineLevel="0" collapsed="false"/>
    <row r="664" customFormat="false" ht="14.25" hidden="false" customHeight="true" outlineLevel="0" collapsed="false"/>
    <row r="665" customFormat="false" ht="14.25" hidden="false" customHeight="true" outlineLevel="0" collapsed="false"/>
    <row r="666" customFormat="false" ht="14.25" hidden="false" customHeight="true" outlineLevel="0" collapsed="false"/>
    <row r="667" customFormat="false" ht="14.25" hidden="false" customHeight="true" outlineLevel="0" collapsed="false"/>
    <row r="668" customFormat="false" ht="14.25" hidden="false" customHeight="true" outlineLevel="0" collapsed="false"/>
    <row r="669" customFormat="false" ht="14.25" hidden="false" customHeight="true" outlineLevel="0" collapsed="false"/>
    <row r="670" customFormat="false" ht="14.25" hidden="false" customHeight="true" outlineLevel="0" collapsed="false"/>
    <row r="671" customFormat="false" ht="14.25" hidden="false" customHeight="true" outlineLevel="0" collapsed="false"/>
    <row r="672" customFormat="false" ht="14.25" hidden="false" customHeight="true" outlineLevel="0" collapsed="false"/>
    <row r="673" customFormat="false" ht="14.25" hidden="false" customHeight="true" outlineLevel="0" collapsed="false"/>
    <row r="674" customFormat="false" ht="14.25" hidden="false" customHeight="true" outlineLevel="0" collapsed="false"/>
    <row r="675" customFormat="false" ht="14.25" hidden="false" customHeight="true" outlineLevel="0" collapsed="false"/>
    <row r="676" customFormat="false" ht="14.25" hidden="false" customHeight="true" outlineLevel="0" collapsed="false"/>
    <row r="677" customFormat="false" ht="14.25" hidden="false" customHeight="true" outlineLevel="0" collapsed="false"/>
    <row r="678" customFormat="false" ht="14.25" hidden="false" customHeight="true" outlineLevel="0" collapsed="false"/>
    <row r="679" customFormat="false" ht="14.25" hidden="false" customHeight="true" outlineLevel="0" collapsed="false"/>
    <row r="680" customFormat="false" ht="14.25" hidden="false" customHeight="true" outlineLevel="0" collapsed="false"/>
    <row r="681" customFormat="false" ht="14.25" hidden="false" customHeight="true" outlineLevel="0" collapsed="false"/>
    <row r="682" customFormat="false" ht="14.25" hidden="false" customHeight="true" outlineLevel="0" collapsed="false"/>
    <row r="683" customFormat="false" ht="14.25" hidden="false" customHeight="true" outlineLevel="0" collapsed="false"/>
    <row r="684" customFormat="false" ht="14.25" hidden="false" customHeight="true" outlineLevel="0" collapsed="false"/>
    <row r="685" customFormat="false" ht="14.25" hidden="false" customHeight="true" outlineLevel="0" collapsed="false"/>
    <row r="686" customFormat="false" ht="14.25" hidden="false" customHeight="true" outlineLevel="0" collapsed="false"/>
    <row r="687" customFormat="false" ht="14.25" hidden="false" customHeight="true" outlineLevel="0" collapsed="false"/>
    <row r="688" customFormat="false" ht="14.25" hidden="false" customHeight="true" outlineLevel="0" collapsed="false"/>
    <row r="689" customFormat="false" ht="14.25" hidden="false" customHeight="true" outlineLevel="0" collapsed="false"/>
    <row r="690" customFormat="false" ht="14.25" hidden="false" customHeight="true" outlineLevel="0" collapsed="false"/>
    <row r="691" customFormat="false" ht="14.25" hidden="false" customHeight="true" outlineLevel="0" collapsed="false"/>
    <row r="692" customFormat="false" ht="14.25" hidden="false" customHeight="true" outlineLevel="0" collapsed="false"/>
    <row r="693" customFormat="false" ht="14.25" hidden="false" customHeight="true" outlineLevel="0" collapsed="false"/>
    <row r="694" customFormat="false" ht="14.25" hidden="false" customHeight="true" outlineLevel="0" collapsed="false"/>
    <row r="695" customFormat="false" ht="14.25" hidden="false" customHeight="true" outlineLevel="0" collapsed="false"/>
    <row r="696" customFormat="false" ht="14.25" hidden="false" customHeight="true" outlineLevel="0" collapsed="false"/>
    <row r="697" customFormat="false" ht="14.25" hidden="false" customHeight="true" outlineLevel="0" collapsed="false"/>
    <row r="698" customFormat="false" ht="14.25" hidden="false" customHeight="true" outlineLevel="0" collapsed="false"/>
    <row r="699" customFormat="false" ht="14.25" hidden="false" customHeight="true" outlineLevel="0" collapsed="false"/>
    <row r="700" customFormat="false" ht="14.25" hidden="false" customHeight="true" outlineLevel="0" collapsed="false"/>
    <row r="701" customFormat="false" ht="14.25" hidden="false" customHeight="true" outlineLevel="0" collapsed="false"/>
    <row r="702" customFormat="false" ht="14.25" hidden="false" customHeight="true" outlineLevel="0" collapsed="false"/>
    <row r="703" customFormat="false" ht="14.25" hidden="false" customHeight="true" outlineLevel="0" collapsed="false"/>
    <row r="704" customFormat="false" ht="14.25" hidden="false" customHeight="true" outlineLevel="0" collapsed="false"/>
    <row r="705" customFormat="false" ht="14.25" hidden="false" customHeight="true" outlineLevel="0" collapsed="false"/>
    <row r="706" customFormat="false" ht="14.25" hidden="false" customHeight="true" outlineLevel="0" collapsed="false"/>
    <row r="707" customFormat="false" ht="14.25" hidden="false" customHeight="true" outlineLevel="0" collapsed="false"/>
    <row r="708" customFormat="false" ht="14.25" hidden="false" customHeight="true" outlineLevel="0" collapsed="false"/>
    <row r="709" customFormat="false" ht="14.25" hidden="false" customHeight="true" outlineLevel="0" collapsed="false"/>
    <row r="710" customFormat="false" ht="14.25" hidden="false" customHeight="true" outlineLevel="0" collapsed="false"/>
    <row r="711" customFormat="false" ht="14.25" hidden="false" customHeight="true" outlineLevel="0" collapsed="false"/>
    <row r="712" customFormat="false" ht="14.25" hidden="false" customHeight="true" outlineLevel="0" collapsed="false"/>
    <row r="713" customFormat="false" ht="14.25" hidden="false" customHeight="true" outlineLevel="0" collapsed="false"/>
    <row r="714" customFormat="false" ht="14.25" hidden="false" customHeight="true" outlineLevel="0" collapsed="false"/>
    <row r="715" customFormat="false" ht="14.25" hidden="false" customHeight="true" outlineLevel="0" collapsed="false"/>
    <row r="716" customFormat="false" ht="14.25" hidden="false" customHeight="true" outlineLevel="0" collapsed="false"/>
    <row r="717" customFormat="false" ht="14.25" hidden="false" customHeight="true" outlineLevel="0" collapsed="false"/>
    <row r="718" customFormat="false" ht="14.25" hidden="false" customHeight="true" outlineLevel="0" collapsed="false"/>
    <row r="719" customFormat="false" ht="14.25" hidden="false" customHeight="true" outlineLevel="0" collapsed="false"/>
    <row r="720" customFormat="false" ht="14.25" hidden="false" customHeight="true" outlineLevel="0" collapsed="false"/>
    <row r="721" customFormat="false" ht="14.25" hidden="false" customHeight="true" outlineLevel="0" collapsed="false"/>
    <row r="722" customFormat="false" ht="14.25" hidden="false" customHeight="true" outlineLevel="0" collapsed="false"/>
    <row r="723" customFormat="false" ht="14.25" hidden="false" customHeight="true" outlineLevel="0" collapsed="false"/>
    <row r="724" customFormat="false" ht="14.25" hidden="false" customHeight="true" outlineLevel="0" collapsed="false"/>
    <row r="725" customFormat="false" ht="14.25" hidden="false" customHeight="true" outlineLevel="0" collapsed="false"/>
    <row r="726" customFormat="false" ht="14.25" hidden="false" customHeight="true" outlineLevel="0" collapsed="false"/>
    <row r="727" customFormat="false" ht="14.25" hidden="false" customHeight="true" outlineLevel="0" collapsed="false"/>
    <row r="728" customFormat="false" ht="14.25" hidden="false" customHeight="true" outlineLevel="0" collapsed="false"/>
    <row r="729" customFormat="false" ht="14.25" hidden="false" customHeight="true" outlineLevel="0" collapsed="false"/>
    <row r="730" customFormat="false" ht="14.25" hidden="false" customHeight="true" outlineLevel="0" collapsed="false"/>
    <row r="731" customFormat="false" ht="14.25" hidden="false" customHeight="true" outlineLevel="0" collapsed="false"/>
    <row r="732" customFormat="false" ht="14.25" hidden="false" customHeight="true" outlineLevel="0" collapsed="false"/>
    <row r="733" customFormat="false" ht="14.25" hidden="false" customHeight="true" outlineLevel="0" collapsed="false"/>
    <row r="734" customFormat="false" ht="14.25" hidden="false" customHeight="true" outlineLevel="0" collapsed="false"/>
    <row r="735" customFormat="false" ht="14.25" hidden="false" customHeight="true" outlineLevel="0" collapsed="false"/>
    <row r="736" customFormat="false" ht="14.25" hidden="false" customHeight="true" outlineLevel="0" collapsed="false"/>
    <row r="737" customFormat="false" ht="14.25" hidden="false" customHeight="true" outlineLevel="0" collapsed="false"/>
    <row r="738" customFormat="false" ht="14.25" hidden="false" customHeight="true" outlineLevel="0" collapsed="false"/>
    <row r="739" customFormat="false" ht="14.25" hidden="false" customHeight="true" outlineLevel="0" collapsed="false"/>
    <row r="740" customFormat="false" ht="14.25" hidden="false" customHeight="true" outlineLevel="0" collapsed="false"/>
    <row r="741" customFormat="false" ht="14.25" hidden="false" customHeight="true" outlineLevel="0" collapsed="false"/>
    <row r="742" customFormat="false" ht="14.25" hidden="false" customHeight="true" outlineLevel="0" collapsed="false"/>
    <row r="743" customFormat="false" ht="14.25" hidden="false" customHeight="true" outlineLevel="0" collapsed="false"/>
    <row r="744" customFormat="false" ht="14.25" hidden="false" customHeight="true" outlineLevel="0" collapsed="false"/>
    <row r="745" customFormat="false" ht="14.25" hidden="false" customHeight="true" outlineLevel="0" collapsed="false"/>
    <row r="746" customFormat="false" ht="14.25" hidden="false" customHeight="true" outlineLevel="0" collapsed="false"/>
    <row r="747" customFormat="false" ht="14.25" hidden="false" customHeight="true" outlineLevel="0" collapsed="false"/>
    <row r="748" customFormat="false" ht="14.25" hidden="false" customHeight="true" outlineLevel="0" collapsed="false"/>
    <row r="749" customFormat="false" ht="14.25" hidden="false" customHeight="true" outlineLevel="0" collapsed="false"/>
    <row r="750" customFormat="false" ht="14.25" hidden="false" customHeight="true" outlineLevel="0" collapsed="false"/>
    <row r="751" customFormat="false" ht="14.25" hidden="false" customHeight="true" outlineLevel="0" collapsed="false"/>
    <row r="752" customFormat="false" ht="14.25" hidden="false" customHeight="true" outlineLevel="0" collapsed="false"/>
    <row r="753" customFormat="false" ht="14.25" hidden="false" customHeight="true" outlineLevel="0" collapsed="false"/>
    <row r="754" customFormat="false" ht="14.25" hidden="false" customHeight="true" outlineLevel="0" collapsed="false"/>
    <row r="755" customFormat="false" ht="14.25" hidden="false" customHeight="true" outlineLevel="0" collapsed="false"/>
    <row r="756" customFormat="false" ht="14.25" hidden="false" customHeight="true" outlineLevel="0" collapsed="false"/>
    <row r="757" customFormat="false" ht="14.25" hidden="false" customHeight="true" outlineLevel="0" collapsed="false"/>
    <row r="758" customFormat="false" ht="14.25" hidden="false" customHeight="true" outlineLevel="0" collapsed="false"/>
    <row r="759" customFormat="false" ht="14.25" hidden="false" customHeight="true" outlineLevel="0" collapsed="false"/>
    <row r="760" customFormat="false" ht="14.25" hidden="false" customHeight="true" outlineLevel="0" collapsed="false"/>
    <row r="761" customFormat="false" ht="14.25" hidden="false" customHeight="true" outlineLevel="0" collapsed="false"/>
    <row r="762" customFormat="false" ht="14.25" hidden="false" customHeight="true" outlineLevel="0" collapsed="false"/>
    <row r="763" customFormat="false" ht="14.25" hidden="false" customHeight="true" outlineLevel="0" collapsed="false"/>
    <row r="764" customFormat="false" ht="14.25" hidden="false" customHeight="true" outlineLevel="0" collapsed="false"/>
    <row r="765" customFormat="false" ht="14.25" hidden="false" customHeight="true" outlineLevel="0" collapsed="false"/>
    <row r="766" customFormat="false" ht="14.25" hidden="false" customHeight="true" outlineLevel="0" collapsed="false"/>
    <row r="767" customFormat="false" ht="14.25" hidden="false" customHeight="true" outlineLevel="0" collapsed="false"/>
    <row r="768" customFormat="false" ht="14.25" hidden="false" customHeight="true" outlineLevel="0" collapsed="false"/>
    <row r="769" customFormat="false" ht="14.25" hidden="false" customHeight="true" outlineLevel="0" collapsed="false"/>
    <row r="770" customFormat="false" ht="14.25" hidden="false" customHeight="true" outlineLevel="0" collapsed="false"/>
    <row r="771" customFormat="false" ht="14.25" hidden="false" customHeight="true" outlineLevel="0" collapsed="false"/>
    <row r="772" customFormat="false" ht="14.25" hidden="false" customHeight="true" outlineLevel="0" collapsed="false"/>
    <row r="773" customFormat="false" ht="14.25" hidden="false" customHeight="true" outlineLevel="0" collapsed="false"/>
    <row r="774" customFormat="false" ht="14.25" hidden="false" customHeight="true" outlineLevel="0" collapsed="false"/>
    <row r="775" customFormat="false" ht="14.25" hidden="false" customHeight="true" outlineLevel="0" collapsed="false"/>
    <row r="776" customFormat="false" ht="14.25" hidden="false" customHeight="true" outlineLevel="0" collapsed="false"/>
    <row r="777" customFormat="false" ht="14.25" hidden="false" customHeight="true" outlineLevel="0" collapsed="false"/>
    <row r="778" customFormat="false" ht="14.25" hidden="false" customHeight="true" outlineLevel="0" collapsed="false"/>
    <row r="779" customFormat="false" ht="14.25" hidden="false" customHeight="true" outlineLevel="0" collapsed="false"/>
    <row r="780" customFormat="false" ht="14.25" hidden="false" customHeight="true" outlineLevel="0" collapsed="false"/>
    <row r="781" customFormat="false" ht="14.25" hidden="false" customHeight="true" outlineLevel="0" collapsed="false"/>
    <row r="782" customFormat="false" ht="14.25" hidden="false" customHeight="true" outlineLevel="0" collapsed="false"/>
    <row r="783" customFormat="false" ht="14.25" hidden="false" customHeight="true" outlineLevel="0" collapsed="false"/>
    <row r="784" customFormat="false" ht="14.25" hidden="false" customHeight="true" outlineLevel="0" collapsed="false"/>
    <row r="785" customFormat="false" ht="14.25" hidden="false" customHeight="true" outlineLevel="0" collapsed="false"/>
    <row r="786" customFormat="false" ht="14.25" hidden="false" customHeight="true" outlineLevel="0" collapsed="false"/>
    <row r="787" customFormat="false" ht="14.25" hidden="false" customHeight="true" outlineLevel="0" collapsed="false"/>
    <row r="788" customFormat="false" ht="14.25" hidden="false" customHeight="true" outlineLevel="0" collapsed="false"/>
    <row r="789" customFormat="false" ht="14.25" hidden="false" customHeight="true" outlineLevel="0" collapsed="false"/>
    <row r="790" customFormat="false" ht="14.25" hidden="false" customHeight="true" outlineLevel="0" collapsed="false"/>
    <row r="791" customFormat="false" ht="14.25" hidden="false" customHeight="true" outlineLevel="0" collapsed="false"/>
    <row r="792" customFormat="false" ht="14.25" hidden="false" customHeight="true" outlineLevel="0" collapsed="false"/>
    <row r="793" customFormat="false" ht="14.25" hidden="false" customHeight="true" outlineLevel="0" collapsed="false"/>
    <row r="794" customFormat="false" ht="14.25" hidden="false" customHeight="true" outlineLevel="0" collapsed="false"/>
    <row r="795" customFormat="false" ht="14.25" hidden="false" customHeight="true" outlineLevel="0" collapsed="false"/>
    <row r="796" customFormat="false" ht="14.25" hidden="false" customHeight="true" outlineLevel="0" collapsed="false"/>
    <row r="797" customFormat="false" ht="14.25" hidden="false" customHeight="true" outlineLevel="0" collapsed="false"/>
    <row r="798" customFormat="false" ht="14.25" hidden="false" customHeight="true" outlineLevel="0" collapsed="false"/>
    <row r="799" customFormat="false" ht="14.25" hidden="false" customHeight="true" outlineLevel="0" collapsed="false"/>
    <row r="800" customFormat="false" ht="14.25" hidden="false" customHeight="true" outlineLevel="0" collapsed="false"/>
    <row r="801" customFormat="false" ht="14.25" hidden="false" customHeight="true" outlineLevel="0" collapsed="false"/>
    <row r="802" customFormat="false" ht="14.25" hidden="false" customHeight="true" outlineLevel="0" collapsed="false"/>
    <row r="803" customFormat="false" ht="14.25" hidden="false" customHeight="true" outlineLevel="0" collapsed="false"/>
    <row r="804" customFormat="false" ht="14.25" hidden="false" customHeight="true" outlineLevel="0" collapsed="false"/>
    <row r="805" customFormat="false" ht="14.25" hidden="false" customHeight="true" outlineLevel="0" collapsed="false"/>
    <row r="806" customFormat="false" ht="14.25" hidden="false" customHeight="true" outlineLevel="0" collapsed="false"/>
    <row r="807" customFormat="false" ht="14.25" hidden="false" customHeight="true" outlineLevel="0" collapsed="false"/>
    <row r="808" customFormat="false" ht="14.25" hidden="false" customHeight="true" outlineLevel="0" collapsed="false"/>
    <row r="809" customFormat="false" ht="14.25" hidden="false" customHeight="true" outlineLevel="0" collapsed="false"/>
    <row r="810" customFormat="false" ht="14.25" hidden="false" customHeight="true" outlineLevel="0" collapsed="false"/>
    <row r="811" customFormat="false" ht="14.25" hidden="false" customHeight="true" outlineLevel="0" collapsed="false"/>
    <row r="812" customFormat="false" ht="14.25" hidden="false" customHeight="true" outlineLevel="0" collapsed="false"/>
    <row r="813" customFormat="false" ht="14.25" hidden="false" customHeight="true" outlineLevel="0" collapsed="false"/>
    <row r="814" customFormat="false" ht="14.25" hidden="false" customHeight="true" outlineLevel="0" collapsed="false"/>
    <row r="815" customFormat="false" ht="14.25" hidden="false" customHeight="true" outlineLevel="0" collapsed="false"/>
    <row r="816" customFormat="false" ht="14.25" hidden="false" customHeight="true" outlineLevel="0" collapsed="false"/>
    <row r="817" customFormat="false" ht="14.25" hidden="false" customHeight="true" outlineLevel="0" collapsed="false"/>
    <row r="818" customFormat="false" ht="14.25" hidden="false" customHeight="true" outlineLevel="0" collapsed="false"/>
    <row r="819" customFormat="false" ht="14.25" hidden="false" customHeight="true" outlineLevel="0" collapsed="false"/>
    <row r="820" customFormat="false" ht="14.25" hidden="false" customHeight="true" outlineLevel="0" collapsed="false"/>
    <row r="821" customFormat="false" ht="14.25" hidden="false" customHeight="true" outlineLevel="0" collapsed="false"/>
    <row r="822" customFormat="false" ht="14.25" hidden="false" customHeight="true" outlineLevel="0" collapsed="false"/>
    <row r="823" customFormat="false" ht="14.25" hidden="false" customHeight="true" outlineLevel="0" collapsed="false"/>
    <row r="824" customFormat="false" ht="14.25" hidden="false" customHeight="true" outlineLevel="0" collapsed="false"/>
    <row r="825" customFormat="false" ht="14.25" hidden="false" customHeight="true" outlineLevel="0" collapsed="false"/>
    <row r="826" customFormat="false" ht="14.25" hidden="false" customHeight="true" outlineLevel="0" collapsed="false"/>
    <row r="827" customFormat="false" ht="14.25" hidden="false" customHeight="true" outlineLevel="0" collapsed="false"/>
    <row r="828" customFormat="false" ht="14.25" hidden="false" customHeight="true" outlineLevel="0" collapsed="false"/>
    <row r="829" customFormat="false" ht="14.25" hidden="false" customHeight="true" outlineLevel="0" collapsed="false"/>
    <row r="830" customFormat="false" ht="14.25" hidden="false" customHeight="true" outlineLevel="0" collapsed="false"/>
    <row r="831" customFormat="false" ht="14.25" hidden="false" customHeight="true" outlineLevel="0" collapsed="false"/>
    <row r="832" customFormat="false" ht="14.25" hidden="false" customHeight="true" outlineLevel="0" collapsed="false"/>
    <row r="833" customFormat="false" ht="14.25" hidden="false" customHeight="true" outlineLevel="0" collapsed="false"/>
    <row r="834" customFormat="false" ht="14.25" hidden="false" customHeight="true" outlineLevel="0" collapsed="false"/>
    <row r="835" customFormat="false" ht="14.25" hidden="false" customHeight="true" outlineLevel="0" collapsed="false"/>
    <row r="836" customFormat="false" ht="14.25" hidden="false" customHeight="true" outlineLevel="0" collapsed="false"/>
    <row r="837" customFormat="false" ht="14.25" hidden="false" customHeight="true" outlineLevel="0" collapsed="false"/>
    <row r="838" customFormat="false" ht="14.25" hidden="false" customHeight="true" outlineLevel="0" collapsed="false"/>
    <row r="839" customFormat="false" ht="14.25" hidden="false" customHeight="true" outlineLevel="0" collapsed="false"/>
    <row r="840" customFormat="false" ht="14.25" hidden="false" customHeight="true" outlineLevel="0" collapsed="false"/>
    <row r="841" customFormat="false" ht="14.25" hidden="false" customHeight="true" outlineLevel="0" collapsed="false"/>
    <row r="842" customFormat="false" ht="14.25" hidden="false" customHeight="true" outlineLevel="0" collapsed="false"/>
    <row r="843" customFormat="false" ht="14.25" hidden="false" customHeight="true" outlineLevel="0" collapsed="false"/>
    <row r="844" customFormat="false" ht="14.25" hidden="false" customHeight="true" outlineLevel="0" collapsed="false"/>
    <row r="845" customFormat="false" ht="14.25" hidden="false" customHeight="true" outlineLevel="0" collapsed="false"/>
    <row r="846" customFormat="false" ht="14.25" hidden="false" customHeight="true" outlineLevel="0" collapsed="false"/>
    <row r="847" customFormat="false" ht="14.25" hidden="false" customHeight="true" outlineLevel="0" collapsed="false"/>
    <row r="848" customFormat="false" ht="14.25" hidden="false" customHeight="true" outlineLevel="0" collapsed="false"/>
    <row r="849" customFormat="false" ht="14.25" hidden="false" customHeight="true" outlineLevel="0" collapsed="false"/>
    <row r="850" customFormat="false" ht="14.25" hidden="false" customHeight="true" outlineLevel="0" collapsed="false"/>
    <row r="851" customFormat="false" ht="14.25" hidden="false" customHeight="true" outlineLevel="0" collapsed="false"/>
    <row r="852" customFormat="false" ht="14.25" hidden="false" customHeight="true" outlineLevel="0" collapsed="false"/>
    <row r="853" customFormat="false" ht="14.25" hidden="false" customHeight="true" outlineLevel="0" collapsed="false"/>
    <row r="854" customFormat="false" ht="14.25" hidden="false" customHeight="true" outlineLevel="0" collapsed="false"/>
    <row r="855" customFormat="false" ht="14.25" hidden="false" customHeight="true" outlineLevel="0" collapsed="false"/>
    <row r="856" customFormat="false" ht="14.25" hidden="false" customHeight="true" outlineLevel="0" collapsed="false"/>
    <row r="857" customFormat="false" ht="14.25" hidden="false" customHeight="true" outlineLevel="0" collapsed="false"/>
    <row r="858" customFormat="false" ht="14.25" hidden="false" customHeight="true" outlineLevel="0" collapsed="false"/>
    <row r="859" customFormat="false" ht="14.25" hidden="false" customHeight="true" outlineLevel="0" collapsed="false"/>
    <row r="860" customFormat="false" ht="14.25" hidden="false" customHeight="true" outlineLevel="0" collapsed="false"/>
    <row r="861" customFormat="false" ht="14.25" hidden="false" customHeight="true" outlineLevel="0" collapsed="false"/>
    <row r="862" customFormat="false" ht="14.25" hidden="false" customHeight="true" outlineLevel="0" collapsed="false"/>
    <row r="863" customFormat="false" ht="14.25" hidden="false" customHeight="true" outlineLevel="0" collapsed="false"/>
    <row r="864" customFormat="false" ht="14.25" hidden="false" customHeight="true" outlineLevel="0" collapsed="false"/>
    <row r="865" customFormat="false" ht="14.25" hidden="false" customHeight="true" outlineLevel="0" collapsed="false"/>
    <row r="866" customFormat="false" ht="14.25" hidden="false" customHeight="true" outlineLevel="0" collapsed="false"/>
    <row r="867" customFormat="false" ht="14.25" hidden="false" customHeight="true" outlineLevel="0" collapsed="false"/>
    <row r="868" customFormat="false" ht="14.25" hidden="false" customHeight="true" outlineLevel="0" collapsed="false"/>
    <row r="869" customFormat="false" ht="14.25" hidden="false" customHeight="true" outlineLevel="0" collapsed="false"/>
    <row r="870" customFormat="false" ht="14.25" hidden="false" customHeight="true" outlineLevel="0" collapsed="false"/>
    <row r="871" customFormat="false" ht="14.25" hidden="false" customHeight="true" outlineLevel="0" collapsed="false"/>
    <row r="872" customFormat="false" ht="14.25" hidden="false" customHeight="true" outlineLevel="0" collapsed="false"/>
    <row r="873" customFormat="false" ht="14.25" hidden="false" customHeight="true" outlineLevel="0" collapsed="false"/>
    <row r="874" customFormat="false" ht="14.25" hidden="false" customHeight="true" outlineLevel="0" collapsed="false"/>
    <row r="875" customFormat="false" ht="14.25" hidden="false" customHeight="true" outlineLevel="0" collapsed="false"/>
    <row r="876" customFormat="false" ht="14.25" hidden="false" customHeight="true" outlineLevel="0" collapsed="false"/>
    <row r="877" customFormat="false" ht="14.25" hidden="false" customHeight="true" outlineLevel="0" collapsed="false"/>
    <row r="878" customFormat="false" ht="14.25" hidden="false" customHeight="true" outlineLevel="0" collapsed="false"/>
    <row r="879" customFormat="false" ht="14.25" hidden="false" customHeight="true" outlineLevel="0" collapsed="false"/>
    <row r="880" customFormat="false" ht="14.25" hidden="false" customHeight="true" outlineLevel="0" collapsed="false"/>
    <row r="881" customFormat="false" ht="14.25" hidden="false" customHeight="true" outlineLevel="0" collapsed="false"/>
    <row r="882" customFormat="false" ht="14.25" hidden="false" customHeight="true" outlineLevel="0" collapsed="false"/>
    <row r="883" customFormat="false" ht="14.25" hidden="false" customHeight="true" outlineLevel="0" collapsed="false"/>
    <row r="884" customFormat="false" ht="14.25" hidden="false" customHeight="true" outlineLevel="0" collapsed="false"/>
    <row r="885" customFormat="false" ht="14.25" hidden="false" customHeight="true" outlineLevel="0" collapsed="false"/>
    <row r="886" customFormat="false" ht="14.25" hidden="false" customHeight="true" outlineLevel="0" collapsed="false"/>
    <row r="887" customFormat="false" ht="14.25" hidden="false" customHeight="true" outlineLevel="0" collapsed="false"/>
    <row r="888" customFormat="false" ht="14.25" hidden="false" customHeight="true" outlineLevel="0" collapsed="false"/>
    <row r="889" customFormat="false" ht="14.25" hidden="false" customHeight="true" outlineLevel="0" collapsed="false"/>
    <row r="890" customFormat="false" ht="14.25" hidden="false" customHeight="true" outlineLevel="0" collapsed="false"/>
    <row r="891" customFormat="false" ht="14.25" hidden="false" customHeight="true" outlineLevel="0" collapsed="false"/>
    <row r="892" customFormat="false" ht="14.25" hidden="false" customHeight="true" outlineLevel="0" collapsed="false"/>
    <row r="893" customFormat="false" ht="14.25" hidden="false" customHeight="true" outlineLevel="0" collapsed="false"/>
    <row r="894" customFormat="false" ht="14.25" hidden="false" customHeight="true" outlineLevel="0" collapsed="false"/>
    <row r="895" customFormat="false" ht="14.25" hidden="false" customHeight="true" outlineLevel="0" collapsed="false"/>
    <row r="896" customFormat="false" ht="14.25" hidden="false" customHeight="true" outlineLevel="0" collapsed="false"/>
    <row r="897" customFormat="false" ht="14.25" hidden="false" customHeight="true" outlineLevel="0" collapsed="false"/>
    <row r="898" customFormat="false" ht="14.25" hidden="false" customHeight="true" outlineLevel="0" collapsed="false"/>
    <row r="899" customFormat="false" ht="14.25" hidden="false" customHeight="true" outlineLevel="0" collapsed="false"/>
    <row r="900" customFormat="false" ht="14.25" hidden="false" customHeight="true" outlineLevel="0" collapsed="false"/>
    <row r="901" customFormat="false" ht="14.25" hidden="false" customHeight="true" outlineLevel="0" collapsed="false"/>
    <row r="902" customFormat="false" ht="14.25" hidden="false" customHeight="true" outlineLevel="0" collapsed="false"/>
    <row r="903" customFormat="false" ht="14.25" hidden="false" customHeight="true" outlineLevel="0" collapsed="false"/>
    <row r="904" customFormat="false" ht="14.25" hidden="false" customHeight="true" outlineLevel="0" collapsed="false"/>
    <row r="905" customFormat="false" ht="14.25" hidden="false" customHeight="true" outlineLevel="0" collapsed="false"/>
    <row r="906" customFormat="false" ht="14.25" hidden="false" customHeight="true" outlineLevel="0" collapsed="false"/>
    <row r="907" customFormat="false" ht="14.25" hidden="false" customHeight="true" outlineLevel="0" collapsed="false"/>
    <row r="908" customFormat="false" ht="14.25" hidden="false" customHeight="true" outlineLevel="0" collapsed="false"/>
    <row r="909" customFormat="false" ht="14.25" hidden="false" customHeight="true" outlineLevel="0" collapsed="false"/>
    <row r="910" customFormat="false" ht="14.25" hidden="false" customHeight="true" outlineLevel="0" collapsed="false"/>
    <row r="911" customFormat="false" ht="14.25" hidden="false" customHeight="true" outlineLevel="0" collapsed="false"/>
    <row r="912" customFormat="false" ht="14.25" hidden="false" customHeight="true" outlineLevel="0" collapsed="false"/>
    <row r="913" customFormat="false" ht="14.25" hidden="false" customHeight="true" outlineLevel="0" collapsed="false"/>
    <row r="914" customFormat="false" ht="14.25" hidden="false" customHeight="true" outlineLevel="0" collapsed="false"/>
    <row r="915" customFormat="false" ht="14.25" hidden="false" customHeight="true" outlineLevel="0" collapsed="false"/>
    <row r="916" customFormat="false" ht="14.25" hidden="false" customHeight="true" outlineLevel="0" collapsed="false"/>
    <row r="917" customFormat="false" ht="14.25" hidden="false" customHeight="true" outlineLevel="0" collapsed="false"/>
    <row r="918" customFormat="false" ht="14.25" hidden="false" customHeight="true" outlineLevel="0" collapsed="false"/>
    <row r="919" customFormat="false" ht="14.25" hidden="false" customHeight="true" outlineLevel="0" collapsed="false"/>
    <row r="920" customFormat="false" ht="14.25" hidden="false" customHeight="true" outlineLevel="0" collapsed="false"/>
    <row r="921" customFormat="false" ht="14.25" hidden="false" customHeight="true" outlineLevel="0" collapsed="false"/>
    <row r="922" customFormat="false" ht="14.25" hidden="false" customHeight="true" outlineLevel="0" collapsed="false"/>
    <row r="923" customFormat="false" ht="14.25" hidden="false" customHeight="true" outlineLevel="0" collapsed="false"/>
    <row r="924" customFormat="false" ht="14.25" hidden="false" customHeight="true" outlineLevel="0" collapsed="false"/>
    <row r="925" customFormat="false" ht="14.25" hidden="false" customHeight="true" outlineLevel="0" collapsed="false"/>
    <row r="926" customFormat="false" ht="14.25" hidden="false" customHeight="true" outlineLevel="0" collapsed="false"/>
    <row r="927" customFormat="false" ht="14.25" hidden="false" customHeight="true" outlineLevel="0" collapsed="false"/>
    <row r="928" customFormat="false" ht="14.25" hidden="false" customHeight="true" outlineLevel="0" collapsed="false"/>
    <row r="929" customFormat="false" ht="14.25" hidden="false" customHeight="true" outlineLevel="0" collapsed="false"/>
    <row r="930" customFormat="false" ht="14.25" hidden="false" customHeight="true" outlineLevel="0" collapsed="false"/>
    <row r="931" customFormat="false" ht="14.25" hidden="false" customHeight="true" outlineLevel="0" collapsed="false"/>
    <row r="932" customFormat="false" ht="14.25" hidden="false" customHeight="true" outlineLevel="0" collapsed="false"/>
    <row r="933" customFormat="false" ht="14.25" hidden="false" customHeight="true" outlineLevel="0" collapsed="false"/>
    <row r="934" customFormat="false" ht="14.25" hidden="false" customHeight="true" outlineLevel="0" collapsed="false"/>
    <row r="935" customFormat="false" ht="14.25" hidden="false" customHeight="true" outlineLevel="0" collapsed="false"/>
    <row r="936" customFormat="false" ht="14.25" hidden="false" customHeight="true" outlineLevel="0" collapsed="false"/>
    <row r="937" customFormat="false" ht="14.25" hidden="false" customHeight="true" outlineLevel="0" collapsed="false"/>
    <row r="938" customFormat="false" ht="14.25" hidden="false" customHeight="true" outlineLevel="0" collapsed="false"/>
    <row r="939" customFormat="false" ht="14.25" hidden="false" customHeight="true" outlineLevel="0" collapsed="false"/>
    <row r="940" customFormat="false" ht="14.25" hidden="false" customHeight="true" outlineLevel="0" collapsed="false"/>
    <row r="941" customFormat="false" ht="14.25" hidden="false" customHeight="true" outlineLevel="0" collapsed="false"/>
    <row r="942" customFormat="false" ht="14.25" hidden="false" customHeight="true" outlineLevel="0" collapsed="false"/>
    <row r="943" customFormat="false" ht="14.25" hidden="false" customHeight="true" outlineLevel="0" collapsed="false"/>
    <row r="944" customFormat="false" ht="14.25" hidden="false" customHeight="true" outlineLevel="0" collapsed="false"/>
    <row r="945" customFormat="false" ht="14.25" hidden="false" customHeight="true" outlineLevel="0" collapsed="false"/>
    <row r="946" customFormat="false" ht="14.25" hidden="false" customHeight="true" outlineLevel="0" collapsed="false"/>
    <row r="947" customFormat="false" ht="14.25" hidden="false" customHeight="true" outlineLevel="0" collapsed="false"/>
    <row r="948" customFormat="false" ht="14.25" hidden="false" customHeight="true" outlineLevel="0" collapsed="false"/>
    <row r="949" customFormat="false" ht="14.25" hidden="false" customHeight="true" outlineLevel="0" collapsed="false"/>
    <row r="950" customFormat="false" ht="14.25" hidden="false" customHeight="true" outlineLevel="0" collapsed="false"/>
    <row r="951" customFormat="false" ht="14.25" hidden="false" customHeight="true" outlineLevel="0" collapsed="false"/>
    <row r="952" customFormat="false" ht="14.25" hidden="false" customHeight="true" outlineLevel="0" collapsed="false"/>
    <row r="953" customFormat="false" ht="14.25" hidden="false" customHeight="true" outlineLevel="0" collapsed="false"/>
    <row r="954" customFormat="false" ht="14.25" hidden="false" customHeight="true" outlineLevel="0" collapsed="false"/>
    <row r="955" customFormat="false" ht="14.25" hidden="false" customHeight="true" outlineLevel="0" collapsed="false"/>
    <row r="956" customFormat="false" ht="14.25" hidden="false" customHeight="true" outlineLevel="0" collapsed="false"/>
    <row r="957" customFormat="false" ht="14.25" hidden="false" customHeight="true" outlineLevel="0" collapsed="false"/>
    <row r="958" customFormat="false" ht="14.25" hidden="false" customHeight="true" outlineLevel="0" collapsed="false"/>
    <row r="959" customFormat="false" ht="14.25" hidden="false" customHeight="true" outlineLevel="0" collapsed="false"/>
    <row r="960" customFormat="false" ht="14.25" hidden="false" customHeight="true" outlineLevel="0" collapsed="false"/>
    <row r="961" customFormat="false" ht="14.25" hidden="false" customHeight="true" outlineLevel="0" collapsed="false"/>
    <row r="962" customFormat="false" ht="14.25" hidden="false" customHeight="true" outlineLevel="0" collapsed="false"/>
    <row r="963" customFormat="false" ht="14.25" hidden="false" customHeight="true" outlineLevel="0" collapsed="false"/>
    <row r="964" customFormat="false" ht="14.25" hidden="false" customHeight="true" outlineLevel="0" collapsed="false"/>
    <row r="965" customFormat="false" ht="14.25" hidden="false" customHeight="true" outlineLevel="0" collapsed="false"/>
    <row r="966" customFormat="false" ht="14.25" hidden="false" customHeight="true" outlineLevel="0" collapsed="false"/>
    <row r="967" customFormat="false" ht="14.25" hidden="false" customHeight="true" outlineLevel="0" collapsed="false"/>
    <row r="968" customFormat="false" ht="14.25" hidden="false" customHeight="true" outlineLevel="0" collapsed="false"/>
    <row r="969" customFormat="false" ht="14.25" hidden="false" customHeight="true" outlineLevel="0" collapsed="false"/>
    <row r="970" customFormat="false" ht="14.25" hidden="false" customHeight="true" outlineLevel="0" collapsed="false"/>
    <row r="971" customFormat="false" ht="14.25" hidden="false" customHeight="true" outlineLevel="0" collapsed="false"/>
    <row r="972" customFormat="false" ht="14.25" hidden="false" customHeight="true" outlineLevel="0" collapsed="false"/>
    <row r="973" customFormat="false" ht="14.25" hidden="false" customHeight="true" outlineLevel="0" collapsed="false"/>
    <row r="974" customFormat="false" ht="14.25" hidden="false" customHeight="true" outlineLevel="0" collapsed="false"/>
    <row r="975" customFormat="false" ht="14.25" hidden="false" customHeight="true" outlineLevel="0" collapsed="false"/>
    <row r="976" customFormat="false" ht="14.25" hidden="false" customHeight="true" outlineLevel="0" collapsed="false"/>
    <row r="977" customFormat="false" ht="14.25" hidden="false" customHeight="true" outlineLevel="0" collapsed="false"/>
    <row r="978" customFormat="false" ht="14.25" hidden="false" customHeight="true" outlineLevel="0" collapsed="false"/>
    <row r="979" customFormat="false" ht="14.25" hidden="false" customHeight="true" outlineLevel="0" collapsed="false"/>
    <row r="980" customFormat="false" ht="14.25" hidden="false" customHeight="true" outlineLevel="0" collapsed="false"/>
    <row r="981" customFormat="false" ht="14.25" hidden="false" customHeight="true" outlineLevel="0" collapsed="false"/>
    <row r="982" customFormat="false" ht="14.25" hidden="false" customHeight="true" outlineLevel="0" collapsed="false"/>
    <row r="983" customFormat="false" ht="14.25" hidden="false" customHeight="true" outlineLevel="0" collapsed="false"/>
    <row r="984" customFormat="false" ht="14.25" hidden="false" customHeight="true" outlineLevel="0" collapsed="false"/>
    <row r="985" customFormat="false" ht="14.25" hidden="false" customHeight="true" outlineLevel="0" collapsed="false"/>
    <row r="986" customFormat="false" ht="14.25" hidden="false" customHeight="true" outlineLevel="0" collapsed="false"/>
    <row r="987" customFormat="false" ht="14.25" hidden="false" customHeight="true" outlineLevel="0" collapsed="false"/>
    <row r="988" customFormat="false" ht="14.25" hidden="false" customHeight="true" outlineLevel="0" collapsed="false"/>
    <row r="989" customFormat="false" ht="14.25" hidden="false" customHeight="true" outlineLevel="0" collapsed="false"/>
    <row r="990" customFormat="false" ht="14.25" hidden="false" customHeight="true" outlineLevel="0" collapsed="false"/>
    <row r="991" customFormat="false" ht="14.25" hidden="false" customHeight="true" outlineLevel="0" collapsed="false"/>
    <row r="992" customFormat="false" ht="14.25" hidden="false" customHeight="true" outlineLevel="0" collapsed="false"/>
    <row r="993" customFormat="false" ht="14.25" hidden="false" customHeight="true" outlineLevel="0" collapsed="false"/>
    <row r="994" customFormat="false" ht="14.25" hidden="false" customHeight="true" outlineLevel="0" collapsed="false"/>
    <row r="995" customFormat="false" ht="14.25" hidden="false" customHeight="true" outlineLevel="0" collapsed="false"/>
    <row r="996" customFormat="false" ht="14.25" hidden="false" customHeight="true" outlineLevel="0" collapsed="false"/>
    <row r="997" customFormat="false" ht="14.25" hidden="false" customHeight="true" outlineLevel="0" collapsed="false"/>
    <row r="998" customFormat="false" ht="14.25" hidden="false" customHeight="true" outlineLevel="0" collapsed="false"/>
    <row r="999" customFormat="false" ht="14.25" hidden="false" customHeight="true" outlineLevel="0" collapsed="false"/>
    <row r="1000" customFormat="false" ht="14.25" hidden="false" customHeight="true" outlineLevel="0" collapsed="false"/>
  </sheetData>
  <mergeCells count="7">
    <mergeCell ref="A1:H1"/>
    <mergeCell ref="B2:G2"/>
    <mergeCell ref="C3:G3"/>
    <mergeCell ref="C4:G4"/>
    <mergeCell ref="C5:G5"/>
    <mergeCell ref="C6:G6"/>
    <mergeCell ref="C7:G7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2020-11-17T07:40:28Z</dcterms:created>
  <dc:creator>RUBIO SANCHEZ, M  ROSARIO</dc:creator>
  <dc:description/>
  <dc:language>es-ES</dc:language>
  <cp:lastModifiedBy/>
  <dcterms:modified xsi:type="dcterms:W3CDTF">2026-02-27T11:56:43Z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0x01010001D161E42B06324EBBB922A5709CF622</vt:lpwstr>
  </property>
</Properties>
</file>